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C:\Users\s2696237\Downloads\"/>
    </mc:Choice>
  </mc:AlternateContent>
  <xr:revisionPtr revIDLastSave="0" documentId="13_ncr:1_{E5C08FBB-72BE-4D98-BFFA-26F475118FBB}" xr6:coauthVersionLast="47" xr6:coauthVersionMax="47" xr10:uidLastSave="{00000000-0000-0000-0000-000000000000}"/>
  <bookViews>
    <workbookView xWindow="-28920" yWindow="-120" windowWidth="29040" windowHeight="15840" tabRatio="826" xr2:uid="{00000000-000D-0000-FFFF-FFFF00000000}"/>
  </bookViews>
  <sheets>
    <sheet name="Detailed Summary" sheetId="1" r:id="rId1"/>
    <sheet name="Salary Calc" sheetId="8" r:id="rId2"/>
    <sheet name="Salary Rates" sheetId="26" r:id="rId3"/>
    <sheet name="Break Even Point" sheetId="5" state="hidden" r:id="rId4"/>
    <sheet name="Data Tables ---&gt;" sheetId="20" state="hidden" r:id="rId5"/>
    <sheet name="Course Costing Data" sheetId="13" state="hidden" r:id="rId6"/>
    <sheet name="Non Sal Data" sheetId="12" state="hidden" r:id="rId7"/>
    <sheet name="Look Up" sheetId="9" state="hidden" r:id="rId8"/>
    <sheet name="LOAD Margin" sheetId="10" state="hidden" r:id="rId9"/>
    <sheet name="Study Intensity Example" sheetId="24" state="hidden" r:id="rId10"/>
    <sheet name="Study Intensity" sheetId="25" state="hidden" r:id="rId11"/>
    <sheet name="RAP - Commissions" sheetId="15" state="hidden" r:id="rId12"/>
    <sheet name="RAP Snapshot" sheetId="11" state="hidden" r:id="rId13"/>
    <sheet name="Sensitivity" sheetId="3" state="hidden" r:id="rId14"/>
  </sheets>
  <externalReferences>
    <externalReference r:id="rId15"/>
  </externalReferences>
  <definedNames>
    <definedName name="_xlnm._FilterDatabase" localSheetId="7" hidden="1">'Look Up'!$B$2:$F$149</definedName>
    <definedName name="_xlnm._FilterDatabase" localSheetId="11" hidden="1">'RAP - Commissions'!$A$21:$F$75</definedName>
    <definedName name="_xlnm._FilterDatabase" localSheetId="12" hidden="1">'RAP Snapshot'!$A$18:$D$64</definedName>
    <definedName name="Ac_Sal">'Look Up'!$P$3:$P$7</definedName>
    <definedName name="ACA_Commence">'Look Up'!$N$17:$N$22</definedName>
    <definedName name="Acad_FTE">'[1]Group Level Input'!$B$86</definedName>
    <definedName name="anscount" hidden="1">3</definedName>
    <definedName name="Base_trans">'[1]Group Level Input'!$B$13</definedName>
    <definedName name="Bus_Act">'[1]Group Level Input'!$B$34</definedName>
    <definedName name="cb_sChart10D6460A_opts" hidden="1">"1, 1, 1, False, 2, True, False, , 0, False, False, 1, 1"</definedName>
    <definedName name="cb_sChart10D65256_opts" hidden="1">"1, 1, 1, False, 2, True, False, , 0, False, False, 1, 1"</definedName>
    <definedName name="cb_sChart10D653EB_opts" hidden="1">"1, 1, 1, False, 2, True, False, , 0, False, False, 1, 1"</definedName>
    <definedName name="cb_sChart10D65893_opts" hidden="1">"1, 1, 1, False, 2, True, False, , 0, False, False, 1, 1"</definedName>
    <definedName name="cb_sChartEE4CE1B_opts" hidden="1">"1, 4, 1, False, 2, False, False, , 0, False, False, 1, 1"</definedName>
    <definedName name="cb_sChartEE4CF99_opts" hidden="1">"1, 1, 1, False, 2, False, False, , 0, False, False, 1, 1"</definedName>
    <definedName name="cb_sChartEE4DD06_opts" hidden="1">"1, 1, 1, False, 2, False, False, , 0, False, False, 1, 2"</definedName>
    <definedName name="cb_sChartEE4E93B_opts" hidden="1">"1, 1, 1, False, 2, False, False, , 0, False, False, 1, 1"</definedName>
    <definedName name="cb_sChartEE51E95_opts" hidden="1">"1, 1, 1, False, 2, False, False, , 0, False, False, 1, 1"</definedName>
    <definedName name="cb_sChartEED7645_opts" hidden="1">"1, 1, 1, False, 2, False, False, , 0, False, False, 1, 1"</definedName>
    <definedName name="cb_sChartEEDA195_opts" hidden="1">"1, 1, 1, False, 2, False, False, , 0, False, False, 1, 1"</definedName>
    <definedName name="cb_sChartEEDC338_opts" hidden="1">"1, 1, 1, False, 2, False, False, , 0, False, False, 1, 1"</definedName>
    <definedName name="cb_sChartEEDEDB8_opts" hidden="1">"1, 1, 1, False, 2, False, False, , 0, False, True, 1, 1"</definedName>
    <definedName name="cb_sChartEEDEE5A_opts" hidden="1">"1, 3, 1, False, 2, True, False, , 0, False, True, 1, 1"</definedName>
    <definedName name="cb_sChartEEDF178_opts" hidden="1">"1, 3, 1, False, 2, False, False, , 0, False, True, 1, 1"</definedName>
    <definedName name="cb_sChartF6A6B11_opts" hidden="1">"1, 1, 1, False, 2, True, False, , 0, False, False, 1, 1"</definedName>
    <definedName name="cb_sChartFD191DC_opts" hidden="1">"1, 3, 1, False, 2, True, False, , 0, False, True, 1, 1"</definedName>
    <definedName name="cb_sChartFD1A245_opts" hidden="1">"1, 3, 1, False, 2, True, False, , 0, False, True, 1, 1"</definedName>
    <definedName name="cb_sChartFD3F0E9_opts" hidden="1">"1, 3, 1, False, 2, True, False, , 0, False, False, 1, 1"</definedName>
    <definedName name="cb_sChartFD3F27E_opts" hidden="1">"1, 3, 1, False, 2, True, False, , 0, False, True, 1, 1"</definedName>
    <definedName name="cb_sChartFD58483_opts" hidden="1">"1, 1, 1, False, 2, True, False, , 0, False, False, 1, 1"</definedName>
    <definedName name="cb_sChartFD5C4CD_opts" hidden="1">"1, 1, 1, False, 2, True, False, , 0, False, False, 1, 1"</definedName>
    <definedName name="cb_sChartFD5D4CE_opts" hidden="1">"1, 1, 1, False, 2, True, False, , 0, False, False, 1, 1"</definedName>
    <definedName name="cb_sChartFD5DF34_opts" hidden="1">"1, 1, 1, False, 2, True, False, , 0, False, False, 1, 1"</definedName>
    <definedName name="cb_sChartFD5EFC0_opts" hidden="1">"1, 1, 1, False, 2, True, False, , 0, False, False, 1, 1"</definedName>
    <definedName name="cb_sChartFD5FDB9_opts" hidden="1">"1, 1, 1, False, 2, True, False, , 0, False, False, 1, 1"</definedName>
    <definedName name="cb_sChartFE54712_opts" hidden="1">"1, 3, 1, False, 2, True, False, , 0, False, True, 1, 1"</definedName>
    <definedName name="crap" hidden="1">{#N/A,#N/A,FALSE,"11.1 Statistical Summary";#N/A,#N/A,FALSE,"11.2.1 Sched of Properties";#N/A,#N/A,FALSE,"11.2.2 Schedule of Buildings";#N/A,#N/A,FALSE,"11.3 Expenditure Profile";#N/A,#N/A,FALSE,"11.4.1 Security";#N/A,#N/A,FALSE,"11.4.3 Cleaning";#N/A,#N/A,FALSE,"11.5 Energy &amp; Water";#N/A,#N/A,FALSE,"11.6.7 Mnt&amp; Lnds "}</definedName>
    <definedName name="Data">Table1[#All]</definedName>
    <definedName name="Departments">'Look Up'!$I$4:$I$12</definedName>
    <definedName name="EB_Impact">'[1]Group Level Input'!$B$6</definedName>
    <definedName name="FOE">'Look Up'!$M$3:$M$12</definedName>
    <definedName name="Gen_Sal">'Look Up'!$S$3:$S$8</definedName>
    <definedName name="Group">'Look Up'!$B$2:$B$5</definedName>
    <definedName name="Group.lkup">'[1]Translation Lookups'!$B$4:$D$122</definedName>
    <definedName name="HTML1_1" hidden="1">"'[GENERAL.XLS]5-1-98'!$A$1:$K$94"</definedName>
    <definedName name="HTML1_10" hidden="1">""</definedName>
    <definedName name="HTML1_11" hidden="1">1</definedName>
    <definedName name="HTML1_12" hidden="1">"M:\SHARE\Scales\MyHTML.htm"</definedName>
    <definedName name="HTML1_2" hidden="1">1</definedName>
    <definedName name="HTML1_3" hidden="1">""</definedName>
    <definedName name="HTML1_4" hidden="1">"General Staff Salary Rates"</definedName>
    <definedName name="HTML1_5" hidden="1">""</definedName>
    <definedName name="HTML1_6" hidden="1">1</definedName>
    <definedName name="HTML1_7" hidden="1">1</definedName>
    <definedName name="HTML1_8" hidden="1">"11/12/97"</definedName>
    <definedName name="HTML1_9" hidden="1">"Griffith University"</definedName>
    <definedName name="HTML2_1" hidden="1">"'[GENERAL.XLS]5-1-98'!$A$1:$H$94"</definedName>
    <definedName name="HTML2_10" hidden="1">""</definedName>
    <definedName name="HTML2_11" hidden="1">1</definedName>
    <definedName name="HTML2_12" hidden="1">"M:\SHARE\Scales\MyHTML.htm"</definedName>
    <definedName name="HTML2_2" hidden="1">1</definedName>
    <definedName name="HTML2_3" hidden="1">"GENERAL"</definedName>
    <definedName name="HTML2_4" hidden="1">"5-1-98"</definedName>
    <definedName name="HTML2_5" hidden="1">""</definedName>
    <definedName name="HTML2_6" hidden="1">-4146</definedName>
    <definedName name="HTML2_7" hidden="1">-4146</definedName>
    <definedName name="HTML2_8" hidden="1">"11/12/97"</definedName>
    <definedName name="HTML2_9" hidden="1">"Griffith University"</definedName>
    <definedName name="HTML3_1" hidden="1">"'[GENERAL.XLS]5-1-98'!$B$1:$K$94"</definedName>
    <definedName name="HTML3_10" hidden="1">""</definedName>
    <definedName name="HTML3_11" hidden="1">1</definedName>
    <definedName name="HTML3_12" hidden="1">"M:\SHARE\Scales\MyHTML.htm"</definedName>
    <definedName name="HTML3_2" hidden="1">1</definedName>
    <definedName name="HTML3_3" hidden="1">" "</definedName>
    <definedName name="HTML3_4" hidden="1">"General Staff Salary Rates"</definedName>
    <definedName name="HTML3_5" hidden="1">""</definedName>
    <definedName name="HTML3_6" hidden="1">1</definedName>
    <definedName name="HTML3_7" hidden="1">1</definedName>
    <definedName name="HTML3_8" hidden="1">"11/12/97"</definedName>
    <definedName name="HTML3_9" hidden="1">"Griffith University"</definedName>
    <definedName name="HTML4_1" hidden="1">"'[GENERAL.XLS]5-1-98'!$A$1:$K$92"</definedName>
    <definedName name="HTML4_10" hidden="1">""</definedName>
    <definedName name="HTML4_11" hidden="1">1</definedName>
    <definedName name="HTML4_12" hidden="1">"M:\SHARE\Scales\MyHTML.htm"</definedName>
    <definedName name="HTML4_2" hidden="1">1</definedName>
    <definedName name="HTML4_3" hidden="1">" "</definedName>
    <definedName name="HTML4_4" hidden="1">"Griffith University General Staff Salary Rates"</definedName>
    <definedName name="HTML4_5" hidden="1">""</definedName>
    <definedName name="HTML4_6" hidden="1">1</definedName>
    <definedName name="HTML4_7" hidden="1">1</definedName>
    <definedName name="HTML4_8" hidden="1">"15/12/97"</definedName>
    <definedName name="HTML4_9" hidden="1">"Griffith University"</definedName>
    <definedName name="HTML5_1" hidden="1">"'[GENERAL.XLS]5-1-98'!$A$1:$H$92"</definedName>
    <definedName name="HTML5_10" hidden="1">""</definedName>
    <definedName name="HTML5_11" hidden="1">1</definedName>
    <definedName name="HTML5_12" hidden="1">"M:\SHARE\Scales\MyHTML.htm"</definedName>
    <definedName name="HTML5_2" hidden="1">1</definedName>
    <definedName name="HTML5_3" hidden="1">" "</definedName>
    <definedName name="HTML5_4" hidden="1">"Griffith University General Staff Salary Rates"</definedName>
    <definedName name="HTML5_5" hidden="1">""</definedName>
    <definedName name="HTML5_6" hidden="1">1</definedName>
    <definedName name="HTML5_7" hidden="1">1</definedName>
    <definedName name="HTML5_8" hidden="1">"11/12/97"</definedName>
    <definedName name="HTML5_9" hidden="1">"Griffith University"</definedName>
    <definedName name="HTMLCount" hidden="1">5</definedName>
    <definedName name="Incl_Flight_Mgt?">'[1]Environment Params &amp; Notes'!$C$11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ONDRATING_FITCH" hidden="1">"IQ_BONDRATING_FITCH"</definedName>
    <definedName name="IQ_BONDRATING_SP" hidden="1">"IQ_BONDRATING_SP"</definedName>
    <definedName name="IQ_BOOK_VALUE" hidden="1">"IQ_BOOK_VALUE"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FPS_ACT_OR_EST" hidden="1">"c2217"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PAYOUT" hidden="1">"c3005"</definedName>
    <definedName name="IQ_DISTRIBUTABLE_CASH_SHARE" hidden="1">"c3003"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PS_ACT_OR_EST" hidden="1">"c2218"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K" hidden="1">"IQ_EBIT_10K"</definedName>
    <definedName name="IQ_EBIT_10Q" hidden="1">"IQ_EBIT_10Q"</definedName>
    <definedName name="IQ_EBIT_10Q1" hidden="1">"IQ_EBIT_10Q1"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ACT_OR_EST" hidden="1">"c2219"</definedName>
    <definedName name="IQ_EBIT_EST" hidden="1">"c1681"</definedName>
    <definedName name="IQ_EBIT_GROWTH_1" hidden="1">"IQ_EBIT_GROWTH_1"</definedName>
    <definedName name="IQ_EBIT_GROWTH_2" hidden="1">"IQ_EBIT_GROWTH_2"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TDDEV_EST" hidden="1">"c1686"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K" hidden="1">"IQ_EBITDA_10K"</definedName>
    <definedName name="IQ_EBITDA_10Q" hidden="1">"IQ_EBITDA_10Q"</definedName>
    <definedName name="IQ_EBITDA_10Q1" hidden="1">"IQ_EBITDA_10Q1"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ST" hidden="1">"c369"</definedName>
    <definedName name="IQ_EBITDA_GROWTH_1" hidden="1">"IQ_EBITDA_GROWTH_1"</definedName>
    <definedName name="IQ_EBITDA_GROWTH_2" hidden="1">"IQ_EBITDA_GROWTH_2"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"c1371"</definedName>
    <definedName name="IQ_EBITDA_STDDEV_EST" hidden="1">"c375"</definedName>
    <definedName name="IQ_EBITDAR" hidden="1">"c2989"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" hidden="1">"IQ_EPS"</definedName>
    <definedName name="IQ_EPS_10K" hidden="1">"IQ_EPS_10K"</definedName>
    <definedName name="IQ_EPS_10Q" hidden="1">"IQ_EPS_10Q"</definedName>
    <definedName name="IQ_EPS_10Q1" hidden="1">"IQ_EPS_10Q1"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ACT_OR_EST" hidden="1">"c2213"</definedName>
    <definedName name="IQ_EPS_EST" hidden="1">"c399"</definedName>
    <definedName name="IQ_EPS_EST_1" hidden="1">"IQ_EPS_EST_1"</definedName>
    <definedName name="IQ_EPS_GW_ACT_OR_EST" hidden="1">"c2223"</definedName>
    <definedName name="IQ_EPS_GW_EST" hidden="1">"c1737"</definedName>
    <definedName name="IQ_EPS_GW_HIGH_EST" hidden="1">"c1739"</definedName>
    <definedName name="IQ_EPS_GW_LOW_EST" hidden="1">"c1740"</definedName>
    <definedName name="IQ_EPS_GW_MEDIAN_EST" hidden="1">"c1738"</definedName>
    <definedName name="IQ_EPS_GW_NUM_EST" hidden="1">"c1741"</definedName>
    <definedName name="IQ_EPS_GW_STDDEV_EST" hidden="1">"c1742"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ORM_EST" hidden="1">"c2226"</definedName>
    <definedName name="IQ_EPS_NORM_HIGH_EST" hidden="1">"c2228"</definedName>
    <definedName name="IQ_EPS_NORM_LOW_EST" hidden="1">"c2229"</definedName>
    <definedName name="IQ_EPS_NORM_MEDIAN_EST" hidden="1">"c2227"</definedName>
    <definedName name="IQ_EPS_NORM_NUM_EST" hidden="1">"c2230"</definedName>
    <definedName name="IQ_EPS_NORM_STDDEV_EST" hidden="1">"c2231"</definedName>
    <definedName name="IQ_EPS_NUM_EST" hidden="1">"c402"</definedName>
    <definedName name="IQ_EPS_REPORT_ACT_OR_EST" hidden="1">"c2224"</definedName>
    <definedName name="IQ_EPS_REPORTED_EST" hidden="1">"c1744"</definedName>
    <definedName name="IQ_EPS_REPORTED_HIGH_EST" hidden="1">"c1746"</definedName>
    <definedName name="IQ_EPS_REPORTED_LOW_EST" hidden="1">"c1747"</definedName>
    <definedName name="IQ_EPS_REPORTED_MEDIAN_EST" hidden="1">"c1745"</definedName>
    <definedName name="IQ_EPS_REPORTED_NUM_EST" hidden="1">"c1748"</definedName>
    <definedName name="IQ_EPS_REPORTED_STDDEV_EST" hidden="1">"c1749"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NORM" hidden="1">"c2232"</definedName>
    <definedName name="IQ_EST_ACT_EPS_REPORTED" hidden="1">"c1750"</definedName>
    <definedName name="IQ_EST_ACT_FFO" hidden="1">"c1666"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DATE" hidden="1">"c1634"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2YR" hidden="1">"c1637"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STDDEV" hidden="1">"c1660"</definedName>
    <definedName name="IQ_EST_EPS_GROWTH_Q_1YR" hidden="1">"c1641"</definedName>
    <definedName name="IQ_EST_EPS_GW_DIFF" hidden="1">"c1891"</definedName>
    <definedName name="IQ_EST_EPS_GW_SURPRISE_PERCENT" hidden="1">"c1892"</definedName>
    <definedName name="IQ_EST_EPS_NORM_DIFF" hidden="1">"c2247"</definedName>
    <definedName name="IQ_EST_EPS_NORM_SURPRISE_PERCENT" hidden="1">"c2248"</definedName>
    <definedName name="IQ_EST_EPS_REPORT_DIFF" hidden="1">"c1893"</definedName>
    <definedName name="IQ_EST_EPS_REPORT_SURPRISE_PERCENT" hidden="1">"c1894"</definedName>
    <definedName name="IQ_EST_EPS_SEQ_GROWTH_Q" hidden="1">"c1764"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_OVER_REVENUE_EST" hidden="1">"IQ_EV_OVER_REVENUE_EST"</definedName>
    <definedName name="IQ_EV_OVER_REVENUE_EST_1" hidden="1">"IQ_EV_OVER_REVENUE_EST_1"</definedName>
    <definedName name="IQ_EVAL_DATE" hidden="1">"c2180"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STDDEV_EST" hidden="1">"c422"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" hidden="1">"c451"</definedName>
    <definedName name="IQ_FY" hidden="1">1000</definedName>
    <definedName name="IQ_FY_DATE" hidden="1">"IQ_FY_DATE"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10K" hidden="1">"IQ_INTEREST_INC_10K"</definedName>
    <definedName name="IQ_INTEREST_INC_10Q" hidden="1">"IQ_INTEREST_INC_10Q"</definedName>
    <definedName name="IQ_INTEREST_INC_10Q1" hidden="1">"IQ_INTEREST_INC_10Q1"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EBIT_MARGIN" hidden="1">"IQ_LAST_EBIT_MARGIN"</definedName>
    <definedName name="IQ_LAST_EBITDA_MARGIN" hidden="1">"IQ_LAST_EBITDA_MARGIN"</definedName>
    <definedName name="IQ_LAST_GROSS_MARGIN" hidden="1">"IQ_LAST_GROSS_MARGIN"</definedName>
    <definedName name="IQ_LAST_NET_INC_MARGIN" hidden="1">"IQ_LAST_NET_INC_MARGIN"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" hidden="1">"1"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DATE" hidden="1">"IQ_LTM_DATE"</definedName>
    <definedName name="IQ_LTM_REVENUE_OVER_EMPLOYEES" hidden="1">"c1437"</definedName>
    <definedName name="IQ_MACHINERY" hidden="1">"c711"</definedName>
    <definedName name="IQ_MAINT_CAPEX" hidden="1">"c2947"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AV_ACT_OR_EST" hidden="1">"c2225"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10K" hidden="1">"IQ_NET_INC_10K"</definedName>
    <definedName name="IQ_NET_INC_10Q" hidden="1">"IQ_NET_INC_10Q"</definedName>
    <definedName name="IQ_NET_INC_10Q1" hidden="1">"IQ_NET_INC_10Q1"</definedName>
    <definedName name="IQ_NET_INC_BEFORE" hidden="1">"c1368"</definedName>
    <definedName name="IQ_NET_INC_CF" hidden="1">"c1397"</definedName>
    <definedName name="IQ_NET_INC_GROWTH_1" hidden="1">"IQ_NET_INC_GROWTH_1"</definedName>
    <definedName name="IQ_NET_INC_GROWTH_2" hidden="1">"IQ_NET_INC_GROWTH_2"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CT_OR_EST" hidden="1">"c2222"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FAS" hidden="1">"c795"</definedName>
    <definedName name="IQ_NI_STDDEV_EST" hidden="1">"c1721"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_EPS_ACT_OR_EST" hidden="1">"c2249"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ACT_OR_EST" hidden="1">"c2220"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"c2127"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G_FWD" hidden="1">"c1863"</definedName>
    <definedName name="IQ_PENSION" hidden="1">"c1031"</definedName>
    <definedName name="IQ_PERCENT_CHANGE_EST_5YR_GROWTH_RATE_12MONTHS" hidden="1">"c1852"</definedName>
    <definedName name="IQ_PERCENT_CHANGE_EST_5YR_GROWTH_RATE_18MONTHS" hidden="1">"c1853"</definedName>
    <definedName name="IQ_PERCENT_CHANGE_EST_5YR_GROWTH_RATE_3MONTHS" hidden="1">"c1849"</definedName>
    <definedName name="IQ_PERCENT_CHANGE_EST_5YR_GROWTH_RATE_6MONTHS" hidden="1">"c1850"</definedName>
    <definedName name="IQ_PERCENT_CHANGE_EST_5YR_GROWTH_RATE_9MONTHS" hidden="1">"c1851"</definedName>
    <definedName name="IQ_PERCENT_CHANGE_EST_5YR_GROWTH_RATE_DAY" hidden="1">"c1846"</definedName>
    <definedName name="IQ_PERCENT_CHANGE_EST_5YR_GROWTH_RATE_MONTH" hidden="1">"c1848"</definedName>
    <definedName name="IQ_PERCENT_CHANGE_EST_5YR_GROWTH_RATE_WEEK" hidden="1">"c1847"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8MONTHS" hidden="1">"c1805"</definedName>
    <definedName name="IQ_PERCENT_CHANGE_EST_EBITDA_3MONTHS" hidden="1">"c1801"</definedName>
    <definedName name="IQ_PERCENT_CHANGE_EST_EBITDA_6MONTHS" hidden="1">"c1802"</definedName>
    <definedName name="IQ_PERCENT_CHANGE_EST_EBITDA_9MONTHS" hidden="1">"c1803"</definedName>
    <definedName name="IQ_PERCENT_CHANGE_EST_EBITDA_DAY" hidden="1">"c1798"</definedName>
    <definedName name="IQ_PERCENT_CHANGE_EST_EBITDA_MONTH" hidden="1">"c1800"</definedName>
    <definedName name="IQ_PERCENT_CHANGE_EST_EBITDA_WEEK" hidden="1">"c1799"</definedName>
    <definedName name="IQ_PERCENT_CHANGE_EST_EPS_12MONTHS" hidden="1">"c1788"</definedName>
    <definedName name="IQ_PERCENT_CHANGE_EST_EPS_18MONTHS" hidden="1">"c1789"</definedName>
    <definedName name="IQ_PERCENT_CHANGE_EST_EPS_3MONTHS" hidden="1">"c1785"</definedName>
    <definedName name="IQ_PERCENT_CHANGE_EST_EPS_6MONTHS" hidden="1">"c1786"</definedName>
    <definedName name="IQ_PERCENT_CHANGE_EST_EPS_9MONTHS" hidden="1">"c1787"</definedName>
    <definedName name="IQ_PERCENT_CHANGE_EST_EPS_DAY" hidden="1">"c1782"</definedName>
    <definedName name="IQ_PERCENT_CHANGE_EST_EPS_MONTH" hidden="1">"c1784"</definedName>
    <definedName name="IQ_PERCENT_CHANGE_EST_EPS_WEEK" hidden="1">"c1783"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8MONTHS" hidden="1">"c1845"</definedName>
    <definedName name="IQ_PERCENT_CHANGE_EST_PRICE_TARGET_3MONTHS" hidden="1">"c1841"</definedName>
    <definedName name="IQ_PERCENT_CHANGE_EST_PRICE_TARGET_6MONTHS" hidden="1">"c1842"</definedName>
    <definedName name="IQ_PERCENT_CHANGE_EST_PRICE_TARGET_9MONTHS" hidden="1">"c1843"</definedName>
    <definedName name="IQ_PERCENT_CHANGE_EST_PRICE_TARGET_DAY" hidden="1">"c1838"</definedName>
    <definedName name="IQ_PERCENT_CHANGE_EST_PRICE_TARGET_MONTH" hidden="1">"c1840"</definedName>
    <definedName name="IQ_PERCENT_CHANGE_EST_PRICE_TARGET_WEEK" hidden="1">"c1839"</definedName>
    <definedName name="IQ_PERCENT_CHANGE_EST_RECO_12MONTHS" hidden="1">"c1836"</definedName>
    <definedName name="IQ_PERCENT_CHANGE_EST_RECO_18MONTHS" hidden="1">"c1837"</definedName>
    <definedName name="IQ_PERCENT_CHANGE_EST_RECO_3MONTHS" hidden="1">"c1833"</definedName>
    <definedName name="IQ_PERCENT_CHANGE_EST_RECO_6MONTHS" hidden="1">"c1834"</definedName>
    <definedName name="IQ_PERCENT_CHANGE_EST_RECO_9MONTHS" hidden="1">"c1835"</definedName>
    <definedName name="IQ_PERCENT_CHANGE_EST_RECO_DAY" hidden="1">"c1830"</definedName>
    <definedName name="IQ_PERCENT_CHANGE_EST_RECO_MONTH" hidden="1">"c1832"</definedName>
    <definedName name="IQ_PERCENT_CHANGE_EST_RECO_WEEK" hidden="1">"c1831"</definedName>
    <definedName name="IQ_PERCENT_CHANGE_EST_REV_12MONTHS" hidden="1">"c1796"</definedName>
    <definedName name="IQ_PERCENT_CHANGE_EST_REV_18MONTHS" hidden="1">"c1797"</definedName>
    <definedName name="IQ_PERCENT_CHANGE_EST_REV_3MONTHS" hidden="1">"c1793"</definedName>
    <definedName name="IQ_PERCENT_CHANGE_EST_REV_6MONTHS" hidden="1">"c1794"</definedName>
    <definedName name="IQ_PERCENT_CHANGE_EST_REV_9MONTHS" hidden="1">"c1795"</definedName>
    <definedName name="IQ_PERCENT_CHANGE_EST_REV_DAY" hidden="1">"c1790"</definedName>
    <definedName name="IQ_PERCENT_CHANGE_EST_REV_MONTH" hidden="1">"c1792"</definedName>
    <definedName name="IQ_PERCENT_CHANGE_EST_REV_WEEK" hidden="1">"c1791"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RE_OPEN_COST" hidden="1">"c1040"</definedName>
    <definedName name="IQ_PRE_TAX_ACT_OR_EST" hidden="1">"c2221"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" hidden="1">"IQ_PRETAX_INC"</definedName>
    <definedName name="IQ_PRETAX_INC_10K" hidden="1">"IQ_PRETAX_INC_10K"</definedName>
    <definedName name="IQ_PRETAX_INC_10Q" hidden="1">"IQ_PRETAX_INC_10Q"</definedName>
    <definedName name="IQ_PRETAX_INC_10Q1" hidden="1">"IQ_PRETAX_INC_10Q1"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ICE_CFPS_FWD" hidden="1">"c2237"</definedName>
    <definedName name="IQ_PRICE_OVER_BVPS" hidden="1">"c1412"</definedName>
    <definedName name="IQ_PRICE_OVER_EPS_EST" hidden="1">"IQ_PRICE_OVER_EPS_EST"</definedName>
    <definedName name="IQ_PRICE_OVER_EPS_EST_1" hidden="1">"IQ_PRICE_OVER_EPS_EST_1"</definedName>
    <definedName name="IQ_PRICE_OVER_LTM_EPS" hidden="1">"c1413"</definedName>
    <definedName name="IQ_PRICE_TARGET" hidden="1">"c82"</definedName>
    <definedName name="IQ_PRICEDATE" hidden="1">"c1069"</definedName>
    <definedName name="IQ_PRICEDATETIME" hidden="1">"IQ_PRICEDATETIME"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"c2903"</definedName>
    <definedName name="IQ_RETAIL_ACQUIRED_OWNED_STORES" hidden="1">"c2895"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"c1422"</definedName>
    <definedName name="IQ_REVENUE_10K" hidden="1">"IQ_REVENUE_10K"</definedName>
    <definedName name="IQ_REVENUE_10Q" hidden="1">"IQ_REVENUE_10Q"</definedName>
    <definedName name="IQ_REVENUE_10Q1" hidden="1">"IQ_REVENUE_10Q1"</definedName>
    <definedName name="IQ_REVENUE_ACT_OR_EST" hidden="1">"c2214"</definedName>
    <definedName name="IQ_REVENUE_EST" hidden="1">"c1126"</definedName>
    <definedName name="IQ_REVENUE_EST_1" hidden="1">"IQ_REVENUE_EST_1"</definedName>
    <definedName name="IQ_REVENUE_GROWTH_1" hidden="1">"IQ_REVENUE_GROWTH_1"</definedName>
    <definedName name="IQ_REVENUE_GROWTH_2" hidden="1">"IQ_REVENUE_GROWTH_2"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REVISION_DATE_" hidden="1">38876.4324537037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DA" hidden="1">"c2381"</definedName>
    <definedName name="IQ_TR_ACQ_FILING_CURRENCY" hidden="1">"c3033"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DA" hidden="1">"c2334"</definedName>
    <definedName name="IQ_TR_TARGET_FILING_CURRENCY" hidden="1">"c3034"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limcount" hidden="1">1</definedName>
    <definedName name="LT_Attribn_7_percent">'[1]Environment Params &amp; Notes'!$J$10</definedName>
    <definedName name="LTPA2_flag">'[1]Group Level Input'!$B$159</definedName>
    <definedName name="NvsASD">"V2003-06-04"</definedName>
    <definedName name="NvsAutoDrillOk">"VY"</definedName>
    <definedName name="NvsElapsedTime">0.00279502314515412</definedName>
    <definedName name="NvsEndTime">37806.5750715278</definedName>
    <definedName name="NvsInstSpec">"%,FFUND_CODE,TFUNDS,NFUNDS"</definedName>
    <definedName name="NvsLayoutType">"M3"</definedName>
    <definedName name="NvsNplSpec">"%,X,RZT.DEPTID.nplosion1,CZF.."</definedName>
    <definedName name="NvsPanelEffdt">"V1950-01-01"</definedName>
    <definedName name="NvsPanelSetid">"VSHARE"</definedName>
    <definedName name="NvsReqBU">"VGRIFF"</definedName>
    <definedName name="NvsReqBUOnly">"VY"</definedName>
    <definedName name="NvsTransLed">"VN"</definedName>
    <definedName name="NvsTreeASD">"V2003-06-04"</definedName>
    <definedName name="NvsValTbl.CLASS_FLD">"CLASS_TBL"</definedName>
    <definedName name="NvsValTbl.CURRENCY_CD">"CURRENCY_CD_TBL"</definedName>
    <definedName name="NvsValTbl.DEPTID">"DEPARTMENT_TBL"</definedName>
    <definedName name="NvsValTbl.PROJECT_ID">"PROJECT_HEADER"</definedName>
    <definedName name="Other_Income">'[1]Group Level Input'!$B$20</definedName>
    <definedName name="overhead.drivers">'[1]Overhead Drivers'!$C$5:$S$400</definedName>
    <definedName name="_xlnm.Print_Area" localSheetId="0">'Detailed Summary'!$A$1:$G$76</definedName>
    <definedName name="RP_Attribution_7_percent">'[1]Environment Params &amp; Notes'!$J$12</definedName>
    <definedName name="Rsch_Income">'[1]Group Level Input'!$B$27</definedName>
    <definedName name="solver_adj" localSheetId="0" hidden="1">'Detailed Summary'!#REF!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'Detailed Summary'!#REF!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'Detailed Summary'!#REF!</definedName>
    <definedName name="solver_pre" localSheetId="0" hidden="1">0.000001</definedName>
    <definedName name="solver_rbv" localSheetId="0" hidden="1">1</definedName>
    <definedName name="solver_rel1" localSheetId="0" hidden="1">2</definedName>
    <definedName name="solver_rhs1" localSheetId="0" hidden="1">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0</definedName>
    <definedName name="solver_ver" localSheetId="0" hidden="1">3</definedName>
    <definedName name="Teach_Prac">'[1]Group Level Input'!$B$93</definedName>
    <definedName name="TM1.All">'[1]TM1 Lookup Ranges'!$F$5:$F$3986</definedName>
    <definedName name="TM1.All_Income">'[1]TM1 Lookup Ranges'!$H$5:$H$3986</definedName>
    <definedName name="TM1.CGS_Capital">'[1]TM1 Data'!$K$5:$K$4009</definedName>
    <definedName name="TM1.CGS_SSAF">'[1]TM1 Lookup Ranges'!$U$5:$U$1284</definedName>
    <definedName name="TM1.Commission">'[1]TM1 Data'!$H$5:$H$4009</definedName>
    <definedName name="TM1.EFTSL">'[1]TM1 Data'!$E$5:$E$4009</definedName>
    <definedName name="TM1.ESA">'[1]TM1 Data'!$I$5:$I$4009</definedName>
    <definedName name="TM1.Fee_Capital">'[1]TM1 Data'!$J$5:$J$4009</definedName>
    <definedName name="TM1.Fee_Income">'[1]TM1 Data'!$L$5:$L$4000</definedName>
    <definedName name="TM1.FP_SSAF">'[1]TM1 Lookup Ranges'!$V$5:$V$3986</definedName>
    <definedName name="TM1.Intl.Yr">'[1]TM1 Lookup Ranges'!$E$5:$E$3986</definedName>
    <definedName name="TM1.Transitional">'[1]TM1 Data'!$M$5:$M$4009</definedName>
    <definedName name="TM1REBUILDOPTION">1</definedName>
    <definedName name="Trimesters">'Look Up'!$L$3:$L$5</definedName>
    <definedName name="USEDRANGE" localSheetId="0">#REF!</definedName>
    <definedName name="USEDRANGE">#REF!</definedName>
    <definedName name="wrn.SPRSetting." hidden="1">{"PreprintView",#N/A,TRUE,"EBL 2002-2004 SP DE"}</definedName>
    <definedName name="wrn.Statistical._.Data." hidden="1">{#N/A,#N/A,FALSE,"11.1 Statistical Summary";#N/A,#N/A,FALSE,"11.2.1 Sched of Properties";#N/A,#N/A,FALSE,"11.2.2 Schedule of Buildings";#N/A,#N/A,FALSE,"11.3 Expenditure Profile";#N/A,#N/A,FALSE,"11.4.1 Security";#N/A,#N/A,FALSE,"11.4.3 Cleaning";#N/A,#N/A,FALSE,"11.5 Energy &amp; Water";#N/A,#N/A,FALSE,"11.6.7 Mnt&amp; Lnds "}</definedName>
    <definedName name="Years">'Look Up'!$K$3:$K$10</definedName>
    <definedName name="Yr.Dept">'[1]TM1 Lookup Ranges'!$I$5:$I$3986</definedName>
    <definedName name="Yr.Fund.Grp">'[1]TM1 Lookup Ranges'!$G$5:$G$3986</definedName>
    <definedName name="Yr.Grp">'[1]TM1 Lookup Ranges'!$F$5:$F$3986</definedName>
  </definedNames>
  <calcPr calcId="191028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1" l="1"/>
  <c r="B9" i="1"/>
  <c r="B12" i="1" s="1"/>
  <c r="C9" i="1"/>
  <c r="C12" i="1" s="1"/>
  <c r="D9" i="1"/>
  <c r="E9" i="1"/>
  <c r="F9" i="1"/>
  <c r="G9" i="1"/>
  <c r="G12" i="1" s="1"/>
  <c r="N104" i="8" a="1"/>
  <c r="N104" i="8" s="1"/>
  <c r="L104" i="8" a="1"/>
  <c r="L104" i="8" s="1"/>
  <c r="J104" i="8" a="1"/>
  <c r="J104" i="8" s="1"/>
  <c r="H104" i="8" a="1"/>
  <c r="H104" i="8" s="1"/>
  <c r="F104" i="8" a="1"/>
  <c r="F104" i="8" s="1"/>
  <c r="D104" i="8" a="1"/>
  <c r="D104" i="8" s="1"/>
  <c r="N103" i="8" a="1"/>
  <c r="N103" i="8" s="1"/>
  <c r="L103" i="8" a="1"/>
  <c r="L103" i="8" s="1"/>
  <c r="J103" i="8" a="1"/>
  <c r="J103" i="8" s="1"/>
  <c r="H103" i="8" a="1"/>
  <c r="H103" i="8" s="1"/>
  <c r="F103" i="8" a="1"/>
  <c r="F103" i="8" s="1"/>
  <c r="D103" i="8" a="1"/>
  <c r="D103" i="8" s="1"/>
  <c r="N102" i="8" a="1"/>
  <c r="N102" i="8" s="1"/>
  <c r="L102" i="8" a="1"/>
  <c r="L102" i="8" s="1"/>
  <c r="J102" i="8" a="1"/>
  <c r="J102" i="8" s="1"/>
  <c r="H102" i="8" a="1"/>
  <c r="H102" i="8" s="1"/>
  <c r="F102" i="8" a="1"/>
  <c r="F102" i="8" s="1"/>
  <c r="D102" i="8" a="1"/>
  <c r="D102" i="8" s="1"/>
  <c r="N101" i="8" a="1"/>
  <c r="N101" i="8" s="1"/>
  <c r="L101" i="8" a="1"/>
  <c r="L101" i="8" s="1"/>
  <c r="J101" i="8" a="1"/>
  <c r="J101" i="8" s="1"/>
  <c r="H101" i="8" a="1"/>
  <c r="H101" i="8" s="1"/>
  <c r="F101" i="8" a="1"/>
  <c r="F101" i="8" s="1"/>
  <c r="D101" i="8" a="1"/>
  <c r="D101" i="8" s="1"/>
  <c r="N93" i="8" a="1"/>
  <c r="N93" i="8" s="1"/>
  <c r="L93" i="8" a="1"/>
  <c r="L93" i="8" s="1"/>
  <c r="J93" i="8" a="1"/>
  <c r="J93" i="8" s="1"/>
  <c r="H93" i="8" a="1"/>
  <c r="H93" i="8" s="1"/>
  <c r="F93" i="8" a="1"/>
  <c r="F93" i="8" s="1"/>
  <c r="D93" i="8" a="1"/>
  <c r="D93" i="8" s="1"/>
  <c r="N92" i="8" a="1"/>
  <c r="N92" i="8" s="1"/>
  <c r="L92" i="8" a="1"/>
  <c r="L92" i="8" s="1"/>
  <c r="J92" i="8" a="1"/>
  <c r="J92" i="8" s="1"/>
  <c r="H92" i="8" a="1"/>
  <c r="H92" i="8" s="1"/>
  <c r="F92" i="8" a="1"/>
  <c r="F92" i="8" s="1"/>
  <c r="D92" i="8" a="1"/>
  <c r="D92" i="8" s="1"/>
  <c r="N91" i="8" a="1"/>
  <c r="N91" i="8" s="1"/>
  <c r="L91" i="8" a="1"/>
  <c r="L91" i="8" s="1"/>
  <c r="J91" i="8" a="1"/>
  <c r="J91" i="8" s="1"/>
  <c r="H91" i="8" a="1"/>
  <c r="H91" i="8" s="1"/>
  <c r="F91" i="8" a="1"/>
  <c r="F91" i="8" s="1"/>
  <c r="D91" i="8" a="1"/>
  <c r="D91" i="8" s="1"/>
  <c r="N90" i="8" a="1"/>
  <c r="N90" i="8" s="1"/>
  <c r="L90" i="8" a="1"/>
  <c r="L90" i="8" s="1"/>
  <c r="J90" i="8" a="1"/>
  <c r="J90" i="8" s="1"/>
  <c r="H90" i="8" a="1"/>
  <c r="H90" i="8" s="1"/>
  <c r="F90" i="8" a="1"/>
  <c r="F90" i="8" s="1"/>
  <c r="D90" i="8" a="1"/>
  <c r="D90" i="8" s="1"/>
  <c r="N86" i="8" a="1"/>
  <c r="N86" i="8" s="1"/>
  <c r="L86" i="8" a="1"/>
  <c r="L86" i="8" s="1"/>
  <c r="J86" i="8" a="1"/>
  <c r="J86" i="8" s="1"/>
  <c r="H86" i="8" a="1"/>
  <c r="H86" i="8" s="1"/>
  <c r="F86" i="8" a="1"/>
  <c r="F86" i="8" s="1"/>
  <c r="D86" i="8" a="1"/>
  <c r="D86" i="8" s="1"/>
  <c r="N85" i="8" a="1"/>
  <c r="N85" i="8" s="1"/>
  <c r="L85" i="8" a="1"/>
  <c r="L85" i="8" s="1"/>
  <c r="J85" i="8" a="1"/>
  <c r="J85" i="8" s="1"/>
  <c r="H85" i="8" a="1"/>
  <c r="H85" i="8" s="1"/>
  <c r="F85" i="8" a="1"/>
  <c r="F85" i="8" s="1"/>
  <c r="D85" i="8" a="1"/>
  <c r="D85" i="8" s="1"/>
  <c r="N84" i="8" a="1"/>
  <c r="N84" i="8" s="1"/>
  <c r="L84" i="8" a="1"/>
  <c r="L84" i="8" s="1"/>
  <c r="J84" i="8" a="1"/>
  <c r="J84" i="8" s="1"/>
  <c r="H84" i="8" a="1"/>
  <c r="H84" i="8" s="1"/>
  <c r="F84" i="8" a="1"/>
  <c r="F84" i="8" s="1"/>
  <c r="D84" i="8" a="1"/>
  <c r="D84" i="8" s="1"/>
  <c r="N83" i="8" a="1"/>
  <c r="N83" i="8" s="1"/>
  <c r="L83" i="8" a="1"/>
  <c r="L83" i="8" s="1"/>
  <c r="J83" i="8" a="1"/>
  <c r="J83" i="8" s="1"/>
  <c r="H83" i="8" a="1"/>
  <c r="H83" i="8" s="1"/>
  <c r="F83" i="8" a="1"/>
  <c r="F83" i="8" s="1"/>
  <c r="D83" i="8" a="1"/>
  <c r="D83" i="8" s="1"/>
  <c r="N82" i="8" a="1"/>
  <c r="N82" i="8" s="1"/>
  <c r="L82" i="8" a="1"/>
  <c r="L82" i="8" s="1"/>
  <c r="J82" i="8" a="1"/>
  <c r="J82" i="8" s="1"/>
  <c r="H82" i="8" a="1"/>
  <c r="H82" i="8" s="1"/>
  <c r="F82" i="8" a="1"/>
  <c r="F82" i="8" s="1"/>
  <c r="D82" i="8" a="1"/>
  <c r="D82" i="8" s="1"/>
  <c r="N81" i="8" a="1"/>
  <c r="N81" i="8" s="1"/>
  <c r="L81" i="8" a="1"/>
  <c r="L81" i="8" s="1"/>
  <c r="J81" i="8" a="1"/>
  <c r="J81" i="8" s="1"/>
  <c r="H81" i="8" a="1"/>
  <c r="H81" i="8" s="1"/>
  <c r="F81" i="8" a="1"/>
  <c r="F81" i="8" s="1"/>
  <c r="D81" i="8" a="1"/>
  <c r="D81" i="8" s="1"/>
  <c r="N80" i="8" a="1"/>
  <c r="N80" i="8" s="1"/>
  <c r="L80" i="8" a="1"/>
  <c r="L80" i="8" s="1"/>
  <c r="J80" i="8" a="1"/>
  <c r="J80" i="8" s="1"/>
  <c r="H80" i="8" a="1"/>
  <c r="H80" i="8" s="1"/>
  <c r="F80" i="8" a="1"/>
  <c r="F80" i="8" s="1"/>
  <c r="D80" i="8" a="1"/>
  <c r="D80" i="8" s="1"/>
  <c r="N79" i="8" a="1"/>
  <c r="N79" i="8" s="1"/>
  <c r="L79" i="8" a="1"/>
  <c r="L79" i="8" s="1"/>
  <c r="J79" i="8" a="1"/>
  <c r="J79" i="8" s="1"/>
  <c r="H79" i="8" a="1"/>
  <c r="H79" i="8" s="1"/>
  <c r="F79" i="8" a="1"/>
  <c r="F79" i="8" s="1"/>
  <c r="D79" i="8" a="1"/>
  <c r="D79" i="8" s="1"/>
  <c r="N78" i="8" a="1"/>
  <c r="N78" i="8" s="1"/>
  <c r="L78" i="8" a="1"/>
  <c r="L78" i="8" s="1"/>
  <c r="J78" i="8" a="1"/>
  <c r="J78" i="8" s="1"/>
  <c r="H78" i="8" a="1"/>
  <c r="H78" i="8" s="1"/>
  <c r="F78" i="8" a="1"/>
  <c r="F78" i="8" s="1"/>
  <c r="D78" i="8" a="1"/>
  <c r="D78" i="8" s="1"/>
  <c r="N77" i="8" a="1"/>
  <c r="N77" i="8" s="1"/>
  <c r="L77" i="8" a="1"/>
  <c r="L77" i="8" s="1"/>
  <c r="J77" i="8" a="1"/>
  <c r="J77" i="8" s="1"/>
  <c r="H77" i="8" a="1"/>
  <c r="H77" i="8" s="1"/>
  <c r="F77" i="8" a="1"/>
  <c r="F77" i="8" s="1"/>
  <c r="D77" i="8" a="1"/>
  <c r="D77" i="8" s="1"/>
  <c r="N71" i="8" a="1"/>
  <c r="N71" i="8" s="1"/>
  <c r="L71" i="8" a="1"/>
  <c r="L71" i="8" s="1"/>
  <c r="J71" i="8" a="1"/>
  <c r="J71" i="8" s="1"/>
  <c r="H71" i="8" a="1"/>
  <c r="H71" i="8" s="1"/>
  <c r="F71" i="8" a="1"/>
  <c r="F71" i="8" s="1"/>
  <c r="D71" i="8" a="1"/>
  <c r="D71" i="8" s="1"/>
  <c r="N70" i="8" a="1"/>
  <c r="N70" i="8" s="1"/>
  <c r="L70" i="8" a="1"/>
  <c r="L70" i="8" s="1"/>
  <c r="J70" i="8" a="1"/>
  <c r="J70" i="8" s="1"/>
  <c r="H70" i="8" a="1"/>
  <c r="H70" i="8" s="1"/>
  <c r="F70" i="8" a="1"/>
  <c r="F70" i="8" s="1"/>
  <c r="D70" i="8" a="1"/>
  <c r="D70" i="8" s="1"/>
  <c r="N69" i="8" a="1"/>
  <c r="N69" i="8" s="1"/>
  <c r="L69" i="8" a="1"/>
  <c r="L69" i="8" s="1"/>
  <c r="J69" i="8" a="1"/>
  <c r="J69" i="8" s="1"/>
  <c r="H69" i="8" a="1"/>
  <c r="H69" i="8" s="1"/>
  <c r="F69" i="8" a="1"/>
  <c r="F69" i="8" s="1"/>
  <c r="D69" i="8" a="1"/>
  <c r="D69" i="8" s="1"/>
  <c r="N68" i="8" a="1"/>
  <c r="N68" i="8" s="1"/>
  <c r="L68" i="8" a="1"/>
  <c r="L68" i="8" s="1"/>
  <c r="J68" i="8" a="1"/>
  <c r="J68" i="8" s="1"/>
  <c r="H68" i="8" a="1"/>
  <c r="H68" i="8" s="1"/>
  <c r="F68" i="8" a="1"/>
  <c r="F68" i="8" s="1"/>
  <c r="D68" i="8" a="1"/>
  <c r="D68" i="8" s="1"/>
  <c r="N64" i="8" a="1"/>
  <c r="N64" i="8" s="1"/>
  <c r="L64" i="8" a="1"/>
  <c r="L64" i="8" s="1"/>
  <c r="J64" i="8" a="1"/>
  <c r="J64" i="8" s="1"/>
  <c r="H64" i="8" a="1"/>
  <c r="H64" i="8" s="1"/>
  <c r="F64" i="8" a="1"/>
  <c r="F64" i="8" s="1"/>
  <c r="D64" i="8" a="1"/>
  <c r="D64" i="8" s="1"/>
  <c r="N63" i="8" a="1"/>
  <c r="N63" i="8" s="1"/>
  <c r="L63" i="8" a="1"/>
  <c r="L63" i="8" s="1"/>
  <c r="J63" i="8" a="1"/>
  <c r="J63" i="8" s="1"/>
  <c r="H63" i="8" a="1"/>
  <c r="H63" i="8" s="1"/>
  <c r="F63" i="8" a="1"/>
  <c r="F63" i="8" s="1"/>
  <c r="D63" i="8" a="1"/>
  <c r="D63" i="8" s="1"/>
  <c r="N62" i="8" a="1"/>
  <c r="N62" i="8" s="1"/>
  <c r="L62" i="8" a="1"/>
  <c r="L62" i="8" s="1"/>
  <c r="J62" i="8" a="1"/>
  <c r="J62" i="8" s="1"/>
  <c r="H62" i="8" a="1"/>
  <c r="H62" i="8" s="1"/>
  <c r="F62" i="8" a="1"/>
  <c r="F62" i="8" s="1"/>
  <c r="D62" i="8" a="1"/>
  <c r="D62" i="8" s="1"/>
  <c r="N61" i="8" a="1"/>
  <c r="N61" i="8" s="1"/>
  <c r="L61" i="8" a="1"/>
  <c r="L61" i="8" s="1"/>
  <c r="J61" i="8" a="1"/>
  <c r="J61" i="8" s="1"/>
  <c r="H61" i="8" a="1"/>
  <c r="H61" i="8" s="1"/>
  <c r="F61" i="8" a="1"/>
  <c r="F61" i="8" s="1"/>
  <c r="D61" i="8" a="1"/>
  <c r="D61" i="8" s="1"/>
  <c r="N60" i="8" a="1"/>
  <c r="N60" i="8" s="1"/>
  <c r="L60" i="8" a="1"/>
  <c r="L60" i="8" s="1"/>
  <c r="J60" i="8" a="1"/>
  <c r="J60" i="8" s="1"/>
  <c r="H60" i="8" a="1"/>
  <c r="H60" i="8" s="1"/>
  <c r="F60" i="8" a="1"/>
  <c r="F60" i="8" s="1"/>
  <c r="D60" i="8" a="1"/>
  <c r="D60" i="8" s="1"/>
  <c r="N59" i="8" a="1"/>
  <c r="N59" i="8" s="1"/>
  <c r="L59" i="8" a="1"/>
  <c r="L59" i="8" s="1"/>
  <c r="J59" i="8" a="1"/>
  <c r="J59" i="8" s="1"/>
  <c r="H59" i="8" a="1"/>
  <c r="H59" i="8" s="1"/>
  <c r="F59" i="8" a="1"/>
  <c r="F59" i="8" s="1"/>
  <c r="D59" i="8" a="1"/>
  <c r="D59" i="8" s="1"/>
  <c r="N58" i="8" a="1"/>
  <c r="N58" i="8" s="1"/>
  <c r="L58" i="8" a="1"/>
  <c r="L58" i="8" s="1"/>
  <c r="J58" i="8" a="1"/>
  <c r="J58" i="8" s="1"/>
  <c r="H58" i="8" a="1"/>
  <c r="H58" i="8" s="1"/>
  <c r="F58" i="8" a="1"/>
  <c r="F58" i="8" s="1"/>
  <c r="N57" i="8" a="1"/>
  <c r="N57" i="8" s="1"/>
  <c r="L57" i="8" a="1"/>
  <c r="L57" i="8" s="1"/>
  <c r="J57" i="8" a="1"/>
  <c r="J57" i="8" s="1"/>
  <c r="H57" i="8" a="1"/>
  <c r="H57" i="8" s="1"/>
  <c r="F57" i="8" a="1"/>
  <c r="F57" i="8" s="1"/>
  <c r="N56" i="8" a="1"/>
  <c r="N56" i="8" s="1"/>
  <c r="L56" i="8" a="1"/>
  <c r="L56" i="8" s="1"/>
  <c r="J56" i="8" a="1"/>
  <c r="J56" i="8" s="1"/>
  <c r="H56" i="8" a="1"/>
  <c r="H56" i="8" s="1"/>
  <c r="F56" i="8" a="1"/>
  <c r="F56" i="8" s="1"/>
  <c r="N55" i="8" a="1"/>
  <c r="N55" i="8" s="1"/>
  <c r="L55" i="8" a="1"/>
  <c r="L55" i="8" s="1"/>
  <c r="J55" i="8" a="1"/>
  <c r="J55" i="8" s="1"/>
  <c r="H55" i="8" a="1"/>
  <c r="H55" i="8" s="1"/>
  <c r="F55" i="8" a="1"/>
  <c r="F55" i="8" s="1"/>
  <c r="N49" i="8" a="1"/>
  <c r="N49" i="8" s="1"/>
  <c r="L49" i="8" a="1"/>
  <c r="L49" i="8" s="1"/>
  <c r="J49" i="8" a="1"/>
  <c r="J49" i="8" s="1"/>
  <c r="H49" i="8" a="1"/>
  <c r="H49" i="8" s="1"/>
  <c r="F49" i="8" a="1"/>
  <c r="F49" i="8" s="1"/>
  <c r="D49" i="8" a="1"/>
  <c r="D49" i="8" s="1"/>
  <c r="N48" i="8" a="1"/>
  <c r="N48" i="8" s="1"/>
  <c r="L48" i="8" a="1"/>
  <c r="L48" i="8" s="1"/>
  <c r="J48" i="8" a="1"/>
  <c r="J48" i="8" s="1"/>
  <c r="H48" i="8" a="1"/>
  <c r="H48" i="8" s="1"/>
  <c r="F48" i="8" a="1"/>
  <c r="F48" i="8" s="1"/>
  <c r="D48" i="8" a="1"/>
  <c r="D48" i="8" s="1"/>
  <c r="N47" i="8" a="1"/>
  <c r="N47" i="8" s="1"/>
  <c r="L47" i="8" a="1"/>
  <c r="L47" i="8" s="1"/>
  <c r="J47" i="8" a="1"/>
  <c r="J47" i="8" s="1"/>
  <c r="H47" i="8" a="1"/>
  <c r="H47" i="8" s="1"/>
  <c r="F47" i="8" a="1"/>
  <c r="F47" i="8" s="1"/>
  <c r="D47" i="8" a="1"/>
  <c r="D47" i="8" s="1"/>
  <c r="N46" i="8" a="1"/>
  <c r="N46" i="8" s="1"/>
  <c r="L46" i="8" a="1"/>
  <c r="L46" i="8" s="1"/>
  <c r="J46" i="8" a="1"/>
  <c r="J46" i="8" s="1"/>
  <c r="H46" i="8" a="1"/>
  <c r="H46" i="8" s="1"/>
  <c r="F46" i="8" a="1"/>
  <c r="F46" i="8" s="1"/>
  <c r="D46" i="8" a="1"/>
  <c r="D46" i="8" s="1"/>
  <c r="D33" i="8" a="1"/>
  <c r="D33" i="8" s="1"/>
  <c r="N42" i="8" a="1"/>
  <c r="N42" i="8" s="1"/>
  <c r="L42" i="8" a="1"/>
  <c r="L42" i="8" s="1"/>
  <c r="J42" i="8" a="1"/>
  <c r="J42" i="8" s="1"/>
  <c r="H42" i="8" a="1"/>
  <c r="H42" i="8" s="1"/>
  <c r="F42" i="8" a="1"/>
  <c r="F42" i="8" s="1"/>
  <c r="D42" i="8" a="1"/>
  <c r="D42" i="8" s="1"/>
  <c r="N41" i="8" a="1"/>
  <c r="N41" i="8" s="1"/>
  <c r="L41" i="8" a="1"/>
  <c r="L41" i="8" s="1"/>
  <c r="J41" i="8" a="1"/>
  <c r="J41" i="8" s="1"/>
  <c r="H41" i="8" a="1"/>
  <c r="H41" i="8" s="1"/>
  <c r="F41" i="8" a="1"/>
  <c r="F41" i="8" s="1"/>
  <c r="D41" i="8" a="1"/>
  <c r="D41" i="8" s="1"/>
  <c r="N40" i="8" a="1"/>
  <c r="N40" i="8" s="1"/>
  <c r="L40" i="8" a="1"/>
  <c r="L40" i="8" s="1"/>
  <c r="J40" i="8" a="1"/>
  <c r="J40" i="8" s="1"/>
  <c r="H40" i="8" a="1"/>
  <c r="H40" i="8" s="1"/>
  <c r="F40" i="8" a="1"/>
  <c r="F40" i="8" s="1"/>
  <c r="D40" i="8" a="1"/>
  <c r="D40" i="8" s="1"/>
  <c r="N39" i="8" a="1"/>
  <c r="N39" i="8" s="1"/>
  <c r="L39" i="8" a="1"/>
  <c r="L39" i="8" s="1"/>
  <c r="J39" i="8" a="1"/>
  <c r="J39" i="8" s="1"/>
  <c r="H39" i="8" a="1"/>
  <c r="H39" i="8" s="1"/>
  <c r="F39" i="8" a="1"/>
  <c r="F39" i="8" s="1"/>
  <c r="D39" i="8" a="1"/>
  <c r="D39" i="8" s="1"/>
  <c r="N38" i="8" a="1"/>
  <c r="N38" i="8" s="1"/>
  <c r="L38" i="8" a="1"/>
  <c r="L38" i="8" s="1"/>
  <c r="J38" i="8" a="1"/>
  <c r="J38" i="8" s="1"/>
  <c r="H38" i="8" a="1"/>
  <c r="H38" i="8" s="1"/>
  <c r="F38" i="8" a="1"/>
  <c r="F38" i="8" s="1"/>
  <c r="D38" i="8" a="1"/>
  <c r="D38" i="8" s="1"/>
  <c r="N37" i="8" a="1"/>
  <c r="N37" i="8" s="1"/>
  <c r="L37" i="8" a="1"/>
  <c r="L37" i="8" s="1"/>
  <c r="J37" i="8" a="1"/>
  <c r="J37" i="8" s="1"/>
  <c r="H37" i="8" a="1"/>
  <c r="H37" i="8" s="1"/>
  <c r="F37" i="8" a="1"/>
  <c r="F37" i="8" s="1"/>
  <c r="D37" i="8" a="1"/>
  <c r="D37" i="8" s="1"/>
  <c r="N36" i="8" a="1"/>
  <c r="N36" i="8" s="1"/>
  <c r="L36" i="8" a="1"/>
  <c r="L36" i="8" s="1"/>
  <c r="J36" i="8" a="1"/>
  <c r="J36" i="8" s="1"/>
  <c r="H36" i="8" a="1"/>
  <c r="H36" i="8" s="1"/>
  <c r="F36" i="8" a="1"/>
  <c r="F36" i="8" s="1"/>
  <c r="D36" i="8" a="1"/>
  <c r="D36" i="8" s="1"/>
  <c r="N35" i="8" a="1"/>
  <c r="N35" i="8" s="1"/>
  <c r="L35" i="8" a="1"/>
  <c r="L35" i="8" s="1"/>
  <c r="J35" i="8" a="1"/>
  <c r="J35" i="8" s="1"/>
  <c r="H35" i="8" a="1"/>
  <c r="H35" i="8" s="1"/>
  <c r="F35" i="8" a="1"/>
  <c r="F35" i="8" s="1"/>
  <c r="D35" i="8" a="1"/>
  <c r="D35" i="8" s="1"/>
  <c r="N34" i="8" a="1"/>
  <c r="N34" i="8" s="1"/>
  <c r="L34" i="8" a="1"/>
  <c r="L34" i="8" s="1"/>
  <c r="J34" i="8" a="1"/>
  <c r="J34" i="8" s="1"/>
  <c r="H34" i="8" a="1"/>
  <c r="H34" i="8" s="1"/>
  <c r="F34" i="8" a="1"/>
  <c r="F34" i="8" s="1"/>
  <c r="D34" i="8" a="1"/>
  <c r="D34" i="8" s="1"/>
  <c r="N33" i="8" a="1"/>
  <c r="N33" i="8" s="1"/>
  <c r="L33" i="8" a="1"/>
  <c r="L33" i="8" s="1"/>
  <c r="J33" i="8" a="1"/>
  <c r="J33" i="8" s="1"/>
  <c r="H33" i="8" a="1"/>
  <c r="H33" i="8" s="1"/>
  <c r="F33" i="8" a="1"/>
  <c r="F33" i="8" s="1"/>
  <c r="N25" i="8" a="1"/>
  <c r="N25" i="8" s="1"/>
  <c r="N26" i="8" a="1"/>
  <c r="N26" i="8" s="1"/>
  <c r="N27" i="8" a="1"/>
  <c r="N27" i="8" s="1"/>
  <c r="L25" i="8" a="1"/>
  <c r="L25" i="8" s="1"/>
  <c r="L26" i="8" a="1"/>
  <c r="L26" i="8"/>
  <c r="L27" i="8" a="1"/>
  <c r="L27" i="8" s="1"/>
  <c r="J25" i="8" a="1"/>
  <c r="J25" i="8" s="1"/>
  <c r="J26" i="8" a="1"/>
  <c r="J26" i="8" s="1"/>
  <c r="J27" i="8" a="1"/>
  <c r="J27" i="8" s="1"/>
  <c r="H25" i="8" a="1"/>
  <c r="H25" i="8" s="1"/>
  <c r="H26" i="8" a="1"/>
  <c r="H26" i="8"/>
  <c r="H27" i="8" a="1"/>
  <c r="H27" i="8"/>
  <c r="F25" i="8" a="1"/>
  <c r="F25" i="8" s="1"/>
  <c r="F26" i="8" a="1"/>
  <c r="F26" i="8" s="1"/>
  <c r="F27" i="8" a="1"/>
  <c r="F27" i="8" s="1"/>
  <c r="N24" i="8" a="1"/>
  <c r="N24" i="8" s="1"/>
  <c r="L24" i="8" a="1"/>
  <c r="L24" i="8" s="1"/>
  <c r="J24" i="8" a="1"/>
  <c r="J24" i="8" s="1"/>
  <c r="H24" i="8" a="1"/>
  <c r="H24" i="8" s="1"/>
  <c r="F24" i="8" a="1"/>
  <c r="F24" i="8" s="1"/>
  <c r="D25" i="8" a="1"/>
  <c r="D25" i="8" s="1"/>
  <c r="D26" i="8" a="1"/>
  <c r="D26" i="8" s="1"/>
  <c r="D27" i="8" a="1"/>
  <c r="D27" i="8" s="1"/>
  <c r="D24" i="8" a="1"/>
  <c r="D24" i="8"/>
  <c r="N12" i="8" a="1"/>
  <c r="N12" i="8" s="1"/>
  <c r="N13" i="8" a="1"/>
  <c r="N13" i="8" s="1"/>
  <c r="N14" i="8" a="1"/>
  <c r="N14" i="8" s="1"/>
  <c r="N15" i="8" a="1"/>
  <c r="N15" i="8" s="1"/>
  <c r="N16" i="8" a="1"/>
  <c r="N16" i="8" s="1"/>
  <c r="N17" i="8" a="1"/>
  <c r="N17" i="8" s="1"/>
  <c r="N18" i="8" a="1"/>
  <c r="N18" i="8" s="1"/>
  <c r="N19" i="8" a="1"/>
  <c r="N19" i="8" s="1"/>
  <c r="N20" i="8" a="1"/>
  <c r="N20" i="8" s="1"/>
  <c r="N11" i="8" a="1"/>
  <c r="N11" i="8" s="1"/>
  <c r="D14" i="8" a="1"/>
  <c r="D14" i="8" s="1"/>
  <c r="D15" i="8" a="1"/>
  <c r="D15" i="8"/>
  <c r="D16" i="8" a="1"/>
  <c r="D16" i="8" s="1"/>
  <c r="D17" i="8" a="1"/>
  <c r="D17" i="8" s="1"/>
  <c r="D18" i="8" a="1"/>
  <c r="D18" i="8" s="1"/>
  <c r="D19" i="8" a="1"/>
  <c r="D19" i="8" s="1"/>
  <c r="D20" i="8" a="1"/>
  <c r="D20" i="8" s="1"/>
  <c r="F35" i="26"/>
  <c r="G35" i="26" s="1"/>
  <c r="H35" i="26" s="1"/>
  <c r="I35" i="26" s="1"/>
  <c r="J35" i="26" s="1"/>
  <c r="K35" i="26" s="1"/>
  <c r="L35" i="26" s="1"/>
  <c r="F38" i="26"/>
  <c r="G38" i="26" s="1"/>
  <c r="H38" i="26" s="1"/>
  <c r="I38" i="26" s="1"/>
  <c r="J38" i="26" s="1"/>
  <c r="K38" i="26" s="1"/>
  <c r="L38" i="26" s="1"/>
  <c r="F48" i="26"/>
  <c r="G48" i="26" s="1"/>
  <c r="H48" i="26" s="1"/>
  <c r="I48" i="26" s="1"/>
  <c r="J48" i="26" s="1"/>
  <c r="K48" i="26" s="1"/>
  <c r="L48" i="26" s="1"/>
  <c r="F60" i="26"/>
  <c r="G60" i="26" s="1"/>
  <c r="H60" i="26" s="1"/>
  <c r="I60" i="26" s="1"/>
  <c r="J60" i="26" s="1"/>
  <c r="K60" i="26" s="1"/>
  <c r="L60" i="26" s="1"/>
  <c r="E7" i="26"/>
  <c r="F7" i="26" s="1"/>
  <c r="G7" i="26" s="1"/>
  <c r="H7" i="26" s="1"/>
  <c r="I7" i="26" s="1"/>
  <c r="J7" i="26" s="1"/>
  <c r="K7" i="26" s="1"/>
  <c r="L7" i="26" s="1"/>
  <c r="E8" i="26"/>
  <c r="F8" i="26" s="1"/>
  <c r="G8" i="26" s="1"/>
  <c r="H8" i="26" s="1"/>
  <c r="I8" i="26" s="1"/>
  <c r="J8" i="26" s="1"/>
  <c r="K8" i="26" s="1"/>
  <c r="L8" i="26" s="1"/>
  <c r="E9" i="26"/>
  <c r="F9" i="26" s="1"/>
  <c r="G9" i="26" s="1"/>
  <c r="H9" i="26" s="1"/>
  <c r="I9" i="26" s="1"/>
  <c r="J9" i="26" s="1"/>
  <c r="K9" i="26" s="1"/>
  <c r="L9" i="26" s="1"/>
  <c r="E10" i="26"/>
  <c r="F10" i="26" s="1"/>
  <c r="G10" i="26" s="1"/>
  <c r="H10" i="26" s="1"/>
  <c r="I10" i="26" s="1"/>
  <c r="J10" i="26" s="1"/>
  <c r="K10" i="26" s="1"/>
  <c r="L10" i="26" s="1"/>
  <c r="E11" i="26"/>
  <c r="F11" i="26" s="1"/>
  <c r="G11" i="26" s="1"/>
  <c r="H11" i="26" s="1"/>
  <c r="I11" i="26" s="1"/>
  <c r="J11" i="26" s="1"/>
  <c r="K11" i="26" s="1"/>
  <c r="L11" i="26" s="1"/>
  <c r="E12" i="26"/>
  <c r="F12" i="26" s="1"/>
  <c r="G12" i="26" s="1"/>
  <c r="H12" i="26" s="1"/>
  <c r="I12" i="26" s="1"/>
  <c r="J12" i="26" s="1"/>
  <c r="K12" i="26" s="1"/>
  <c r="L12" i="26" s="1"/>
  <c r="E13" i="26"/>
  <c r="F13" i="26" s="1"/>
  <c r="G13" i="26" s="1"/>
  <c r="H13" i="26" s="1"/>
  <c r="I13" i="26" s="1"/>
  <c r="J13" i="26" s="1"/>
  <c r="K13" i="26" s="1"/>
  <c r="L13" i="26" s="1"/>
  <c r="E14" i="26"/>
  <c r="F14" i="26" s="1"/>
  <c r="G14" i="26" s="1"/>
  <c r="H14" i="26" s="1"/>
  <c r="I14" i="26" s="1"/>
  <c r="J14" i="26" s="1"/>
  <c r="K14" i="26" s="1"/>
  <c r="L14" i="26" s="1"/>
  <c r="E15" i="26"/>
  <c r="F15" i="26" s="1"/>
  <c r="G15" i="26" s="1"/>
  <c r="H15" i="26" s="1"/>
  <c r="I15" i="26" s="1"/>
  <c r="J15" i="26" s="1"/>
  <c r="K15" i="26" s="1"/>
  <c r="L15" i="26" s="1"/>
  <c r="E16" i="26"/>
  <c r="F16" i="26" s="1"/>
  <c r="G16" i="26" s="1"/>
  <c r="H16" i="26" s="1"/>
  <c r="I16" i="26" s="1"/>
  <c r="J16" i="26" s="1"/>
  <c r="K16" i="26" s="1"/>
  <c r="L16" i="26" s="1"/>
  <c r="E17" i="26"/>
  <c r="F17" i="26" s="1"/>
  <c r="G17" i="26" s="1"/>
  <c r="H17" i="26" s="1"/>
  <c r="I17" i="26" s="1"/>
  <c r="J17" i="26" s="1"/>
  <c r="K17" i="26" s="1"/>
  <c r="L17" i="26" s="1"/>
  <c r="E18" i="26"/>
  <c r="F18" i="26" s="1"/>
  <c r="G18" i="26" s="1"/>
  <c r="H18" i="26" s="1"/>
  <c r="I18" i="26" s="1"/>
  <c r="J18" i="26" s="1"/>
  <c r="K18" i="26" s="1"/>
  <c r="L18" i="26" s="1"/>
  <c r="E19" i="26"/>
  <c r="E20" i="26"/>
  <c r="F20" i="26" s="1"/>
  <c r="G20" i="26" s="1"/>
  <c r="H20" i="26" s="1"/>
  <c r="I20" i="26" s="1"/>
  <c r="J20" i="26" s="1"/>
  <c r="K20" i="26" s="1"/>
  <c r="L20" i="26" s="1"/>
  <c r="E21" i="26"/>
  <c r="F21" i="26" s="1"/>
  <c r="G21" i="26" s="1"/>
  <c r="H21" i="26" s="1"/>
  <c r="I21" i="26" s="1"/>
  <c r="J21" i="26" s="1"/>
  <c r="K21" i="26" s="1"/>
  <c r="L21" i="26" s="1"/>
  <c r="E22" i="26"/>
  <c r="F22" i="26" s="1"/>
  <c r="G22" i="26" s="1"/>
  <c r="H22" i="26" s="1"/>
  <c r="I22" i="26" s="1"/>
  <c r="J22" i="26" s="1"/>
  <c r="K22" i="26" s="1"/>
  <c r="L22" i="26" s="1"/>
  <c r="E23" i="26"/>
  <c r="F23" i="26" s="1"/>
  <c r="G23" i="26" s="1"/>
  <c r="H23" i="26" s="1"/>
  <c r="I23" i="26" s="1"/>
  <c r="J23" i="26" s="1"/>
  <c r="K23" i="26" s="1"/>
  <c r="L23" i="26" s="1"/>
  <c r="E24" i="26"/>
  <c r="F24" i="26" s="1"/>
  <c r="G24" i="26" s="1"/>
  <c r="H24" i="26" s="1"/>
  <c r="I24" i="26" s="1"/>
  <c r="J24" i="26" s="1"/>
  <c r="K24" i="26" s="1"/>
  <c r="L24" i="26" s="1"/>
  <c r="E25" i="26"/>
  <c r="F25" i="26" s="1"/>
  <c r="G25" i="26" s="1"/>
  <c r="H25" i="26" s="1"/>
  <c r="I25" i="26" s="1"/>
  <c r="J25" i="26" s="1"/>
  <c r="K25" i="26" s="1"/>
  <c r="L25" i="26" s="1"/>
  <c r="E26" i="26"/>
  <c r="F26" i="26" s="1"/>
  <c r="G26" i="26" s="1"/>
  <c r="H26" i="26" s="1"/>
  <c r="I26" i="26" s="1"/>
  <c r="J26" i="26" s="1"/>
  <c r="K26" i="26" s="1"/>
  <c r="L26" i="26" s="1"/>
  <c r="E27" i="26"/>
  <c r="F27" i="26" s="1"/>
  <c r="G27" i="26" s="1"/>
  <c r="H27" i="26" s="1"/>
  <c r="I27" i="26" s="1"/>
  <c r="J27" i="26" s="1"/>
  <c r="K27" i="26" s="1"/>
  <c r="L27" i="26" s="1"/>
  <c r="E28" i="26"/>
  <c r="F28" i="26" s="1"/>
  <c r="G28" i="26" s="1"/>
  <c r="H28" i="26" s="1"/>
  <c r="I28" i="26" s="1"/>
  <c r="J28" i="26" s="1"/>
  <c r="K28" i="26" s="1"/>
  <c r="L28" i="26" s="1"/>
  <c r="E29" i="26"/>
  <c r="F29" i="26" s="1"/>
  <c r="G29" i="26" s="1"/>
  <c r="H29" i="26" s="1"/>
  <c r="I29" i="26" s="1"/>
  <c r="J29" i="26" s="1"/>
  <c r="K29" i="26" s="1"/>
  <c r="L29" i="26" s="1"/>
  <c r="E30" i="26"/>
  <c r="F30" i="26" s="1"/>
  <c r="G30" i="26" s="1"/>
  <c r="H30" i="26" s="1"/>
  <c r="I30" i="26" s="1"/>
  <c r="J30" i="26" s="1"/>
  <c r="K30" i="26" s="1"/>
  <c r="L30" i="26" s="1"/>
  <c r="E31" i="26"/>
  <c r="F31" i="26" s="1"/>
  <c r="G31" i="26" s="1"/>
  <c r="H31" i="26" s="1"/>
  <c r="I31" i="26" s="1"/>
  <c r="J31" i="26" s="1"/>
  <c r="K31" i="26" s="1"/>
  <c r="L31" i="26" s="1"/>
  <c r="E32" i="26"/>
  <c r="F32" i="26" s="1"/>
  <c r="G32" i="26" s="1"/>
  <c r="H32" i="26" s="1"/>
  <c r="I32" i="26" s="1"/>
  <c r="J32" i="26" s="1"/>
  <c r="K32" i="26" s="1"/>
  <c r="L32" i="26" s="1"/>
  <c r="E33" i="26"/>
  <c r="F33" i="26" s="1"/>
  <c r="G33" i="26" s="1"/>
  <c r="H33" i="26" s="1"/>
  <c r="I33" i="26" s="1"/>
  <c r="J33" i="26" s="1"/>
  <c r="K33" i="26" s="1"/>
  <c r="L33" i="26" s="1"/>
  <c r="E34" i="26"/>
  <c r="F34" i="26" s="1"/>
  <c r="G34" i="26" s="1"/>
  <c r="H34" i="26" s="1"/>
  <c r="I34" i="26" s="1"/>
  <c r="J34" i="26" s="1"/>
  <c r="K34" i="26" s="1"/>
  <c r="L34" i="26" s="1"/>
  <c r="E35" i="26"/>
  <c r="E36" i="26"/>
  <c r="F36" i="26" s="1"/>
  <c r="G36" i="26" s="1"/>
  <c r="H36" i="26" s="1"/>
  <c r="I36" i="26" s="1"/>
  <c r="J36" i="26" s="1"/>
  <c r="K36" i="26" s="1"/>
  <c r="L36" i="26" s="1"/>
  <c r="E37" i="26"/>
  <c r="F37" i="26" s="1"/>
  <c r="G37" i="26" s="1"/>
  <c r="H37" i="26" s="1"/>
  <c r="I37" i="26" s="1"/>
  <c r="J37" i="26" s="1"/>
  <c r="K37" i="26" s="1"/>
  <c r="L37" i="26" s="1"/>
  <c r="E38" i="26"/>
  <c r="E39" i="26"/>
  <c r="F39" i="26" s="1"/>
  <c r="G39" i="26" s="1"/>
  <c r="H39" i="26" s="1"/>
  <c r="I39" i="26" s="1"/>
  <c r="J39" i="26" s="1"/>
  <c r="K39" i="26" s="1"/>
  <c r="L39" i="26" s="1"/>
  <c r="E40" i="26"/>
  <c r="F40" i="26" s="1"/>
  <c r="G40" i="26" s="1"/>
  <c r="H40" i="26" s="1"/>
  <c r="I40" i="26" s="1"/>
  <c r="J40" i="26" s="1"/>
  <c r="K40" i="26" s="1"/>
  <c r="L40" i="26" s="1"/>
  <c r="E41" i="26"/>
  <c r="F41" i="26" s="1"/>
  <c r="G41" i="26" s="1"/>
  <c r="H41" i="26" s="1"/>
  <c r="I41" i="26" s="1"/>
  <c r="J41" i="26" s="1"/>
  <c r="K41" i="26" s="1"/>
  <c r="L41" i="26" s="1"/>
  <c r="E42" i="26"/>
  <c r="F42" i="26" s="1"/>
  <c r="G42" i="26" s="1"/>
  <c r="H42" i="26" s="1"/>
  <c r="I42" i="26" s="1"/>
  <c r="J42" i="26" s="1"/>
  <c r="K42" i="26" s="1"/>
  <c r="L42" i="26" s="1"/>
  <c r="E43" i="26"/>
  <c r="F43" i="26" s="1"/>
  <c r="G43" i="26" s="1"/>
  <c r="H43" i="26" s="1"/>
  <c r="I43" i="26" s="1"/>
  <c r="J43" i="26" s="1"/>
  <c r="K43" i="26" s="1"/>
  <c r="L43" i="26" s="1"/>
  <c r="E44" i="26"/>
  <c r="F44" i="26" s="1"/>
  <c r="G44" i="26" s="1"/>
  <c r="H44" i="26" s="1"/>
  <c r="I44" i="26" s="1"/>
  <c r="J44" i="26" s="1"/>
  <c r="K44" i="26" s="1"/>
  <c r="L44" i="26" s="1"/>
  <c r="E45" i="26"/>
  <c r="F45" i="26" s="1"/>
  <c r="G45" i="26" s="1"/>
  <c r="H45" i="26" s="1"/>
  <c r="I45" i="26" s="1"/>
  <c r="J45" i="26" s="1"/>
  <c r="K45" i="26" s="1"/>
  <c r="L45" i="26" s="1"/>
  <c r="E46" i="26"/>
  <c r="F46" i="26" s="1"/>
  <c r="G46" i="26" s="1"/>
  <c r="H46" i="26" s="1"/>
  <c r="I46" i="26" s="1"/>
  <c r="J46" i="26" s="1"/>
  <c r="K46" i="26" s="1"/>
  <c r="L46" i="26" s="1"/>
  <c r="E47" i="26"/>
  <c r="F47" i="26" s="1"/>
  <c r="G47" i="26" s="1"/>
  <c r="H47" i="26" s="1"/>
  <c r="I47" i="26" s="1"/>
  <c r="J47" i="26" s="1"/>
  <c r="K47" i="26" s="1"/>
  <c r="L47" i="26" s="1"/>
  <c r="E48" i="26"/>
  <c r="E49" i="26"/>
  <c r="F49" i="26" s="1"/>
  <c r="G49" i="26" s="1"/>
  <c r="H49" i="26" s="1"/>
  <c r="I49" i="26" s="1"/>
  <c r="J49" i="26" s="1"/>
  <c r="K49" i="26" s="1"/>
  <c r="L49" i="26" s="1"/>
  <c r="E50" i="26"/>
  <c r="F50" i="26" s="1"/>
  <c r="G50" i="26" s="1"/>
  <c r="H50" i="26" s="1"/>
  <c r="I50" i="26" s="1"/>
  <c r="J50" i="26" s="1"/>
  <c r="K50" i="26" s="1"/>
  <c r="L50" i="26" s="1"/>
  <c r="E51" i="26"/>
  <c r="F51" i="26" s="1"/>
  <c r="G51" i="26" s="1"/>
  <c r="H51" i="26" s="1"/>
  <c r="I51" i="26" s="1"/>
  <c r="J51" i="26" s="1"/>
  <c r="K51" i="26" s="1"/>
  <c r="L51" i="26" s="1"/>
  <c r="E52" i="26"/>
  <c r="F52" i="26" s="1"/>
  <c r="G52" i="26" s="1"/>
  <c r="H52" i="26" s="1"/>
  <c r="I52" i="26" s="1"/>
  <c r="J52" i="26" s="1"/>
  <c r="K52" i="26" s="1"/>
  <c r="L52" i="26" s="1"/>
  <c r="E53" i="26"/>
  <c r="F53" i="26" s="1"/>
  <c r="G53" i="26" s="1"/>
  <c r="H53" i="26" s="1"/>
  <c r="I53" i="26" s="1"/>
  <c r="J53" i="26" s="1"/>
  <c r="K53" i="26" s="1"/>
  <c r="L53" i="26" s="1"/>
  <c r="E54" i="26"/>
  <c r="F54" i="26" s="1"/>
  <c r="G54" i="26" s="1"/>
  <c r="H54" i="26" s="1"/>
  <c r="I54" i="26" s="1"/>
  <c r="J54" i="26" s="1"/>
  <c r="K54" i="26" s="1"/>
  <c r="L54" i="26" s="1"/>
  <c r="E55" i="26"/>
  <c r="F55" i="26" s="1"/>
  <c r="G55" i="26" s="1"/>
  <c r="H55" i="26" s="1"/>
  <c r="I55" i="26" s="1"/>
  <c r="J55" i="26" s="1"/>
  <c r="K55" i="26" s="1"/>
  <c r="L55" i="26" s="1"/>
  <c r="E56" i="26"/>
  <c r="F56" i="26" s="1"/>
  <c r="G56" i="26" s="1"/>
  <c r="H56" i="26" s="1"/>
  <c r="I56" i="26" s="1"/>
  <c r="J56" i="26" s="1"/>
  <c r="K56" i="26" s="1"/>
  <c r="L56" i="26" s="1"/>
  <c r="E57" i="26"/>
  <c r="F57" i="26" s="1"/>
  <c r="G57" i="26" s="1"/>
  <c r="H57" i="26" s="1"/>
  <c r="I57" i="26" s="1"/>
  <c r="J57" i="26" s="1"/>
  <c r="K57" i="26" s="1"/>
  <c r="L57" i="26" s="1"/>
  <c r="E58" i="26"/>
  <c r="F58" i="26" s="1"/>
  <c r="G58" i="26" s="1"/>
  <c r="H58" i="26" s="1"/>
  <c r="I58" i="26" s="1"/>
  <c r="J58" i="26" s="1"/>
  <c r="K58" i="26" s="1"/>
  <c r="L58" i="26" s="1"/>
  <c r="E59" i="26"/>
  <c r="F59" i="26" s="1"/>
  <c r="G59" i="26" s="1"/>
  <c r="H59" i="26" s="1"/>
  <c r="I59" i="26" s="1"/>
  <c r="J59" i="26" s="1"/>
  <c r="K59" i="26" s="1"/>
  <c r="L59" i="26" s="1"/>
  <c r="E60" i="26"/>
  <c r="E61" i="26"/>
  <c r="F61" i="26" s="1"/>
  <c r="G61" i="26" s="1"/>
  <c r="H61" i="26" s="1"/>
  <c r="I61" i="26" s="1"/>
  <c r="J61" i="26" s="1"/>
  <c r="K61" i="26" s="1"/>
  <c r="L61" i="26" s="1"/>
  <c r="E6" i="26"/>
  <c r="F6" i="26"/>
  <c r="G6" i="26" s="1"/>
  <c r="H6" i="26" s="1"/>
  <c r="I6" i="26" s="1"/>
  <c r="J6" i="26" s="1"/>
  <c r="K6" i="26" s="1"/>
  <c r="L6" i="26" s="1"/>
  <c r="D10" i="1"/>
  <c r="E10" i="1" s="1"/>
  <c r="F10" i="1" s="1"/>
  <c r="G10" i="1" s="1"/>
  <c r="E12" i="1"/>
  <c r="F12" i="1"/>
  <c r="C31" i="1"/>
  <c r="D31" i="1" s="1"/>
  <c r="E31" i="1" s="1"/>
  <c r="F31" i="1" s="1"/>
  <c r="G31" i="1" s="1"/>
  <c r="C32" i="1"/>
  <c r="D32" i="1" s="1"/>
  <c r="E32" i="1" s="1"/>
  <c r="F32" i="1" s="1"/>
  <c r="G32" i="1" s="1"/>
  <c r="C33" i="1"/>
  <c r="D33" i="1"/>
  <c r="E33" i="1" s="1"/>
  <c r="F33" i="1" s="1"/>
  <c r="G33" i="1" s="1"/>
  <c r="J27" i="9"/>
  <c r="C5" i="13"/>
  <c r="D30" i="11"/>
  <c r="D7" i="10"/>
  <c r="C3" i="13"/>
  <c r="K4" i="13"/>
  <c r="C4" i="1"/>
  <c r="K3" i="13"/>
  <c r="C4" i="13"/>
  <c r="K5" i="13"/>
  <c r="K6" i="13"/>
  <c r="C12" i="13"/>
  <c r="D12" i="13"/>
  <c r="E12" i="13"/>
  <c r="F12" i="13"/>
  <c r="G12" i="13"/>
  <c r="G19" i="13"/>
  <c r="N44" i="25"/>
  <c r="K44" i="25"/>
  <c r="H44" i="25"/>
  <c r="E44" i="25"/>
  <c r="P44" i="25"/>
  <c r="R44" i="25"/>
  <c r="O44" i="25"/>
  <c r="Q44" i="25"/>
  <c r="S44" i="25"/>
  <c r="N45" i="25"/>
  <c r="K45" i="25"/>
  <c r="H45" i="25"/>
  <c r="E45" i="25"/>
  <c r="O45" i="25"/>
  <c r="Q45" i="25"/>
  <c r="N46" i="25"/>
  <c r="K46" i="25"/>
  <c r="H46" i="25"/>
  <c r="E46" i="25"/>
  <c r="N47" i="25"/>
  <c r="K47" i="25"/>
  <c r="H47" i="25"/>
  <c r="E47" i="25"/>
  <c r="N48" i="25"/>
  <c r="K48" i="25"/>
  <c r="H48" i="25"/>
  <c r="E48" i="25"/>
  <c r="O48" i="25"/>
  <c r="Q48" i="25"/>
  <c r="N49" i="25"/>
  <c r="K49" i="25"/>
  <c r="H49" i="25"/>
  <c r="E49" i="25"/>
  <c r="N50" i="25"/>
  <c r="K50" i="25"/>
  <c r="H50" i="25"/>
  <c r="E50" i="25"/>
  <c r="N51" i="25"/>
  <c r="K51" i="25"/>
  <c r="H51" i="25"/>
  <c r="E51" i="25"/>
  <c r="O51" i="25"/>
  <c r="Q51" i="25"/>
  <c r="N52" i="25"/>
  <c r="K52" i="25"/>
  <c r="H52" i="25"/>
  <c r="E52" i="25"/>
  <c r="P52" i="25"/>
  <c r="R52" i="25"/>
  <c r="O52" i="25"/>
  <c r="Q52" i="25"/>
  <c r="S52" i="25"/>
  <c r="N53" i="25"/>
  <c r="K53" i="25"/>
  <c r="H53" i="25"/>
  <c r="E53" i="25"/>
  <c r="O53" i="25"/>
  <c r="Q53" i="25"/>
  <c r="N54" i="25"/>
  <c r="K54" i="25"/>
  <c r="H54" i="25"/>
  <c r="E54" i="25"/>
  <c r="N55" i="25"/>
  <c r="K55" i="25"/>
  <c r="H55" i="25"/>
  <c r="E55" i="25"/>
  <c r="N56" i="25"/>
  <c r="K56" i="25"/>
  <c r="H56" i="25"/>
  <c r="E56" i="25"/>
  <c r="O56" i="25"/>
  <c r="Q56" i="25"/>
  <c r="N57" i="25"/>
  <c r="K57" i="25"/>
  <c r="H57" i="25"/>
  <c r="E57" i="25"/>
  <c r="N58" i="25"/>
  <c r="K58" i="25"/>
  <c r="H58" i="25"/>
  <c r="E58" i="25"/>
  <c r="N59" i="25"/>
  <c r="K59" i="25"/>
  <c r="H59" i="25"/>
  <c r="E59" i="25"/>
  <c r="O59" i="25"/>
  <c r="Q59" i="25"/>
  <c r="N60" i="25"/>
  <c r="K60" i="25"/>
  <c r="H60" i="25"/>
  <c r="E60" i="25"/>
  <c r="P60" i="25"/>
  <c r="R60" i="25"/>
  <c r="O60" i="25"/>
  <c r="Q60" i="25"/>
  <c r="S60" i="25"/>
  <c r="N61" i="25"/>
  <c r="K61" i="25"/>
  <c r="H61" i="25"/>
  <c r="E61" i="25"/>
  <c r="O61" i="25"/>
  <c r="Q61" i="25"/>
  <c r="N62" i="25"/>
  <c r="K62" i="25"/>
  <c r="H62" i="25"/>
  <c r="E62" i="25"/>
  <c r="N63" i="25"/>
  <c r="K63" i="25"/>
  <c r="H63" i="25"/>
  <c r="E63" i="25"/>
  <c r="N64" i="25"/>
  <c r="K64" i="25"/>
  <c r="H64" i="25"/>
  <c r="E64" i="25"/>
  <c r="O64" i="25"/>
  <c r="Q64" i="25"/>
  <c r="N65" i="25"/>
  <c r="K65" i="25"/>
  <c r="H65" i="25"/>
  <c r="E65" i="25"/>
  <c r="N66" i="25"/>
  <c r="K66" i="25"/>
  <c r="H66" i="25"/>
  <c r="E66" i="25"/>
  <c r="N67" i="25"/>
  <c r="K67" i="25"/>
  <c r="H67" i="25"/>
  <c r="E67" i="25"/>
  <c r="O67" i="25"/>
  <c r="Q67" i="25"/>
  <c r="N68" i="25"/>
  <c r="K68" i="25"/>
  <c r="H68" i="25"/>
  <c r="E68" i="25"/>
  <c r="P68" i="25"/>
  <c r="R68" i="25"/>
  <c r="O68" i="25"/>
  <c r="Q68" i="25"/>
  <c r="S68" i="25"/>
  <c r="E20" i="25"/>
  <c r="H20" i="25"/>
  <c r="K20" i="25"/>
  <c r="N20" i="25"/>
  <c r="O20" i="25"/>
  <c r="Q20" i="25"/>
  <c r="E21" i="25"/>
  <c r="H21" i="25"/>
  <c r="K21" i="25"/>
  <c r="N21" i="25"/>
  <c r="O21" i="25"/>
  <c r="Q21" i="25"/>
  <c r="E22" i="25"/>
  <c r="H22" i="25"/>
  <c r="K22" i="25"/>
  <c r="N22" i="25"/>
  <c r="O22" i="25"/>
  <c r="Q22" i="25"/>
  <c r="E23" i="25"/>
  <c r="H23" i="25"/>
  <c r="K23" i="25"/>
  <c r="N23" i="25"/>
  <c r="O23" i="25"/>
  <c r="Q23" i="25"/>
  <c r="E24" i="25"/>
  <c r="H24" i="25"/>
  <c r="K24" i="25"/>
  <c r="N24" i="25"/>
  <c r="E25" i="25"/>
  <c r="H25" i="25"/>
  <c r="K25" i="25"/>
  <c r="N25" i="25"/>
  <c r="E26" i="25"/>
  <c r="H26" i="25"/>
  <c r="K26" i="25"/>
  <c r="N26" i="25"/>
  <c r="P26" i="25"/>
  <c r="R26" i="25"/>
  <c r="E27" i="25"/>
  <c r="N27" i="25"/>
  <c r="K27" i="25"/>
  <c r="H27" i="25"/>
  <c r="P27" i="25"/>
  <c r="R27" i="25"/>
  <c r="O27" i="25"/>
  <c r="Q27" i="25"/>
  <c r="S27" i="25"/>
  <c r="E28" i="25"/>
  <c r="H28" i="25"/>
  <c r="K28" i="25"/>
  <c r="N28" i="25"/>
  <c r="O28" i="25"/>
  <c r="Q28" i="25"/>
  <c r="E29" i="25"/>
  <c r="H29" i="25"/>
  <c r="K29" i="25"/>
  <c r="N29" i="25"/>
  <c r="O29" i="25"/>
  <c r="Q29" i="25"/>
  <c r="E30" i="25"/>
  <c r="H30" i="25"/>
  <c r="K30" i="25"/>
  <c r="N30" i="25"/>
  <c r="O30" i="25"/>
  <c r="Q30" i="25"/>
  <c r="E31" i="25"/>
  <c r="H31" i="25"/>
  <c r="K31" i="25"/>
  <c r="N31" i="25"/>
  <c r="O31" i="25"/>
  <c r="Q31" i="25"/>
  <c r="E32" i="25"/>
  <c r="H32" i="25"/>
  <c r="K32" i="25"/>
  <c r="N32" i="25"/>
  <c r="E33" i="25"/>
  <c r="H33" i="25"/>
  <c r="K33" i="25"/>
  <c r="N33" i="25"/>
  <c r="E34" i="25"/>
  <c r="H34" i="25"/>
  <c r="K34" i="25"/>
  <c r="N34" i="25"/>
  <c r="P34" i="25"/>
  <c r="R34" i="25"/>
  <c r="E35" i="25"/>
  <c r="N35" i="25"/>
  <c r="K35" i="25"/>
  <c r="H35" i="25"/>
  <c r="P35" i="25"/>
  <c r="R35" i="25"/>
  <c r="O35" i="25"/>
  <c r="Q35" i="25"/>
  <c r="S35" i="25"/>
  <c r="E36" i="25"/>
  <c r="H36" i="25"/>
  <c r="K36" i="25"/>
  <c r="N36" i="25"/>
  <c r="O36" i="25"/>
  <c r="Q36" i="25"/>
  <c r="E37" i="25"/>
  <c r="H37" i="25"/>
  <c r="K37" i="25"/>
  <c r="N37" i="25"/>
  <c r="O37" i="25"/>
  <c r="Q37" i="25"/>
  <c r="E38" i="25"/>
  <c r="H38" i="25"/>
  <c r="K38" i="25"/>
  <c r="N38" i="25"/>
  <c r="O38" i="25"/>
  <c r="Q38" i="25"/>
  <c r="E39" i="25"/>
  <c r="H39" i="25"/>
  <c r="K39" i="25"/>
  <c r="N39" i="25"/>
  <c r="O39" i="25"/>
  <c r="Q39" i="25"/>
  <c r="E40" i="25"/>
  <c r="H40" i="25"/>
  <c r="K40" i="25"/>
  <c r="N40" i="25"/>
  <c r="E41" i="25"/>
  <c r="H41" i="25"/>
  <c r="K41" i="25"/>
  <c r="N41" i="25"/>
  <c r="E42" i="25"/>
  <c r="H42" i="25"/>
  <c r="K42" i="25"/>
  <c r="N42" i="25"/>
  <c r="P42" i="25"/>
  <c r="R42" i="25"/>
  <c r="E43" i="25"/>
  <c r="N43" i="25"/>
  <c r="K43" i="25"/>
  <c r="H43" i="25"/>
  <c r="P43" i="25"/>
  <c r="R43" i="25"/>
  <c r="O43" i="25"/>
  <c r="Q43" i="25"/>
  <c r="S43" i="25"/>
  <c r="C45" i="24"/>
  <c r="G45" i="24"/>
  <c r="F45" i="24"/>
  <c r="E45" i="24"/>
  <c r="D45" i="24"/>
  <c r="F57" i="9"/>
  <c r="G57" i="9"/>
  <c r="H57" i="9"/>
  <c r="I57" i="9"/>
  <c r="J57" i="9"/>
  <c r="K57" i="9"/>
  <c r="L57" i="9"/>
  <c r="M57" i="9"/>
  <c r="N57" i="9"/>
  <c r="O57" i="9"/>
  <c r="P57" i="9"/>
  <c r="Q57" i="9"/>
  <c r="R57" i="9"/>
  <c r="D42" i="9"/>
  <c r="D49" i="9"/>
  <c r="D45" i="9"/>
  <c r="D31" i="9"/>
  <c r="D32" i="9"/>
  <c r="D33" i="9"/>
  <c r="D34" i="9"/>
  <c r="D35" i="9"/>
  <c r="D36" i="9"/>
  <c r="D37" i="9"/>
  <c r="D38" i="9"/>
  <c r="D39" i="9"/>
  <c r="D40" i="9"/>
  <c r="D41" i="9"/>
  <c r="D43" i="9"/>
  <c r="D44" i="9"/>
  <c r="D46" i="9"/>
  <c r="D47" i="9"/>
  <c r="D48" i="9"/>
  <c r="D50" i="9"/>
  <c r="D51" i="9"/>
  <c r="D52" i="9"/>
  <c r="D53" i="9"/>
  <c r="D54" i="9"/>
  <c r="D55" i="9"/>
  <c r="G31" i="9"/>
  <c r="H31" i="9"/>
  <c r="I31" i="9"/>
  <c r="J31" i="9"/>
  <c r="K31" i="9"/>
  <c r="L31" i="9"/>
  <c r="M31" i="9"/>
  <c r="N31" i="9"/>
  <c r="O31" i="9"/>
  <c r="P31" i="9"/>
  <c r="Q31" i="9"/>
  <c r="R31" i="9"/>
  <c r="G32" i="9"/>
  <c r="H32" i="9"/>
  <c r="I32" i="9"/>
  <c r="J32" i="9"/>
  <c r="K32" i="9"/>
  <c r="L32" i="9"/>
  <c r="M32" i="9"/>
  <c r="N32" i="9"/>
  <c r="O32" i="9"/>
  <c r="P32" i="9"/>
  <c r="Q32" i="9"/>
  <c r="R32" i="9"/>
  <c r="G33" i="9"/>
  <c r="H33" i="9"/>
  <c r="I33" i="9"/>
  <c r="J33" i="9"/>
  <c r="K33" i="9"/>
  <c r="L33" i="9"/>
  <c r="M33" i="9"/>
  <c r="N33" i="9"/>
  <c r="O33" i="9"/>
  <c r="P33" i="9"/>
  <c r="Q33" i="9"/>
  <c r="R33" i="9"/>
  <c r="G34" i="9"/>
  <c r="H34" i="9"/>
  <c r="I34" i="9"/>
  <c r="J34" i="9"/>
  <c r="K34" i="9"/>
  <c r="L34" i="9"/>
  <c r="M34" i="9"/>
  <c r="N34" i="9"/>
  <c r="O34" i="9"/>
  <c r="P34" i="9"/>
  <c r="Q34" i="9"/>
  <c r="R34" i="9"/>
  <c r="G35" i="9"/>
  <c r="H35" i="9"/>
  <c r="I35" i="9"/>
  <c r="J35" i="9"/>
  <c r="K35" i="9"/>
  <c r="L35" i="9"/>
  <c r="M35" i="9"/>
  <c r="N35" i="9"/>
  <c r="O35" i="9"/>
  <c r="P35" i="9"/>
  <c r="Q35" i="9"/>
  <c r="R35" i="9"/>
  <c r="G36" i="9"/>
  <c r="H36" i="9"/>
  <c r="I36" i="9"/>
  <c r="J36" i="9"/>
  <c r="K36" i="9"/>
  <c r="L36" i="9"/>
  <c r="M36" i="9"/>
  <c r="N36" i="9"/>
  <c r="O36" i="9"/>
  <c r="P36" i="9"/>
  <c r="Q36" i="9"/>
  <c r="R36" i="9"/>
  <c r="G37" i="9"/>
  <c r="H37" i="9"/>
  <c r="I37" i="9"/>
  <c r="J37" i="9"/>
  <c r="K37" i="9"/>
  <c r="L37" i="9"/>
  <c r="M37" i="9"/>
  <c r="N37" i="9"/>
  <c r="O37" i="9"/>
  <c r="P37" i="9"/>
  <c r="Q37" i="9"/>
  <c r="R37" i="9"/>
  <c r="G38" i="9"/>
  <c r="H38" i="9"/>
  <c r="I38" i="9"/>
  <c r="J38" i="9"/>
  <c r="K38" i="9"/>
  <c r="L38" i="9"/>
  <c r="M38" i="9"/>
  <c r="N38" i="9"/>
  <c r="O38" i="9"/>
  <c r="P38" i="9"/>
  <c r="Q38" i="9"/>
  <c r="R38" i="9"/>
  <c r="G39" i="9"/>
  <c r="H39" i="9"/>
  <c r="I39" i="9"/>
  <c r="J39" i="9"/>
  <c r="K39" i="9"/>
  <c r="L39" i="9"/>
  <c r="M39" i="9"/>
  <c r="N39" i="9"/>
  <c r="O39" i="9"/>
  <c r="P39" i="9"/>
  <c r="Q39" i="9"/>
  <c r="R39" i="9"/>
  <c r="G40" i="9"/>
  <c r="H40" i="9"/>
  <c r="I40" i="9"/>
  <c r="J40" i="9"/>
  <c r="K40" i="9"/>
  <c r="L40" i="9"/>
  <c r="M40" i="9"/>
  <c r="N40" i="9"/>
  <c r="O40" i="9"/>
  <c r="P40" i="9"/>
  <c r="Q40" i="9"/>
  <c r="R40" i="9"/>
  <c r="G41" i="9"/>
  <c r="H41" i="9"/>
  <c r="I41" i="9"/>
  <c r="J41" i="9"/>
  <c r="K41" i="9"/>
  <c r="L41" i="9"/>
  <c r="M41" i="9"/>
  <c r="N41" i="9"/>
  <c r="O41" i="9"/>
  <c r="P41" i="9"/>
  <c r="Q41" i="9"/>
  <c r="R41" i="9"/>
  <c r="G42" i="9"/>
  <c r="H42" i="9"/>
  <c r="I42" i="9"/>
  <c r="J42" i="9"/>
  <c r="K42" i="9"/>
  <c r="L42" i="9"/>
  <c r="M42" i="9"/>
  <c r="N42" i="9"/>
  <c r="O42" i="9"/>
  <c r="P42" i="9"/>
  <c r="Q42" i="9"/>
  <c r="R42" i="9"/>
  <c r="G43" i="9"/>
  <c r="H43" i="9"/>
  <c r="I43" i="9"/>
  <c r="J43" i="9"/>
  <c r="K43" i="9"/>
  <c r="L43" i="9"/>
  <c r="M43" i="9"/>
  <c r="N43" i="9"/>
  <c r="O43" i="9"/>
  <c r="P43" i="9"/>
  <c r="Q43" i="9"/>
  <c r="R43" i="9"/>
  <c r="G44" i="9"/>
  <c r="H44" i="9"/>
  <c r="I44" i="9"/>
  <c r="J44" i="9"/>
  <c r="K44" i="9"/>
  <c r="L44" i="9"/>
  <c r="M44" i="9"/>
  <c r="N44" i="9"/>
  <c r="O44" i="9"/>
  <c r="P44" i="9"/>
  <c r="Q44" i="9"/>
  <c r="R44" i="9"/>
  <c r="G45" i="9"/>
  <c r="H45" i="9"/>
  <c r="I45" i="9"/>
  <c r="J45" i="9"/>
  <c r="K45" i="9"/>
  <c r="L45" i="9"/>
  <c r="M45" i="9"/>
  <c r="N45" i="9"/>
  <c r="O45" i="9"/>
  <c r="P45" i="9"/>
  <c r="Q45" i="9"/>
  <c r="R45" i="9"/>
  <c r="G46" i="9"/>
  <c r="H46" i="9"/>
  <c r="I46" i="9"/>
  <c r="J46" i="9"/>
  <c r="K46" i="9"/>
  <c r="L46" i="9"/>
  <c r="M46" i="9"/>
  <c r="N46" i="9"/>
  <c r="O46" i="9"/>
  <c r="P46" i="9"/>
  <c r="Q46" i="9"/>
  <c r="R46" i="9"/>
  <c r="G47" i="9"/>
  <c r="H47" i="9"/>
  <c r="I47" i="9"/>
  <c r="J47" i="9"/>
  <c r="K47" i="9"/>
  <c r="L47" i="9"/>
  <c r="M47" i="9"/>
  <c r="N47" i="9"/>
  <c r="O47" i="9"/>
  <c r="P47" i="9"/>
  <c r="Q47" i="9"/>
  <c r="R47" i="9"/>
  <c r="G48" i="9"/>
  <c r="H48" i="9"/>
  <c r="I48" i="9"/>
  <c r="J48" i="9"/>
  <c r="K48" i="9"/>
  <c r="L48" i="9"/>
  <c r="M48" i="9"/>
  <c r="N48" i="9"/>
  <c r="O48" i="9"/>
  <c r="P48" i="9"/>
  <c r="Q48" i="9"/>
  <c r="R48" i="9"/>
  <c r="G49" i="9"/>
  <c r="H49" i="9"/>
  <c r="I49" i="9"/>
  <c r="J49" i="9"/>
  <c r="K49" i="9"/>
  <c r="L49" i="9"/>
  <c r="M49" i="9"/>
  <c r="N49" i="9"/>
  <c r="O49" i="9"/>
  <c r="P49" i="9"/>
  <c r="Q49" i="9"/>
  <c r="R49" i="9"/>
  <c r="G50" i="9"/>
  <c r="H50" i="9"/>
  <c r="I50" i="9"/>
  <c r="J50" i="9"/>
  <c r="K50" i="9"/>
  <c r="L50" i="9"/>
  <c r="M50" i="9"/>
  <c r="N50" i="9"/>
  <c r="O50" i="9"/>
  <c r="P50" i="9"/>
  <c r="Q50" i="9"/>
  <c r="R50" i="9"/>
  <c r="G51" i="9"/>
  <c r="H51" i="9"/>
  <c r="I51" i="9"/>
  <c r="J51" i="9"/>
  <c r="K51" i="9"/>
  <c r="L51" i="9"/>
  <c r="M51" i="9"/>
  <c r="N51" i="9"/>
  <c r="O51" i="9"/>
  <c r="P51" i="9"/>
  <c r="Q51" i="9"/>
  <c r="R51" i="9"/>
  <c r="G52" i="9"/>
  <c r="H52" i="9"/>
  <c r="I52" i="9"/>
  <c r="J52" i="9"/>
  <c r="K52" i="9"/>
  <c r="L52" i="9"/>
  <c r="M52" i="9"/>
  <c r="N52" i="9"/>
  <c r="O52" i="9"/>
  <c r="P52" i="9"/>
  <c r="Q52" i="9"/>
  <c r="R52" i="9"/>
  <c r="G53" i="9"/>
  <c r="H53" i="9"/>
  <c r="I53" i="9"/>
  <c r="J53" i="9"/>
  <c r="K53" i="9"/>
  <c r="L53" i="9"/>
  <c r="M53" i="9"/>
  <c r="N53" i="9"/>
  <c r="O53" i="9"/>
  <c r="P53" i="9"/>
  <c r="Q53" i="9"/>
  <c r="R53" i="9"/>
  <c r="G54" i="9"/>
  <c r="H54" i="9"/>
  <c r="I54" i="9"/>
  <c r="J54" i="9"/>
  <c r="K54" i="9"/>
  <c r="L54" i="9"/>
  <c r="M54" i="9"/>
  <c r="N54" i="9"/>
  <c r="O54" i="9"/>
  <c r="P54" i="9"/>
  <c r="Q54" i="9"/>
  <c r="R54" i="9"/>
  <c r="G55" i="9"/>
  <c r="H55" i="9"/>
  <c r="I55" i="9"/>
  <c r="J55" i="9"/>
  <c r="K55" i="9"/>
  <c r="L55" i="9"/>
  <c r="M55" i="9"/>
  <c r="N55" i="9"/>
  <c r="O55" i="9"/>
  <c r="P55" i="9"/>
  <c r="Q55" i="9"/>
  <c r="R55" i="9"/>
  <c r="D70" i="9"/>
  <c r="D64" i="9"/>
  <c r="D67" i="9"/>
  <c r="D59" i="9"/>
  <c r="D60" i="9"/>
  <c r="D61" i="9"/>
  <c r="D62" i="9"/>
  <c r="D63" i="9"/>
  <c r="D65" i="9"/>
  <c r="D66" i="9"/>
  <c r="D68" i="9"/>
  <c r="D69" i="9"/>
  <c r="D71" i="9"/>
  <c r="D72" i="9"/>
  <c r="D73" i="9"/>
  <c r="D74" i="9"/>
  <c r="D75" i="9"/>
  <c r="D76" i="9"/>
  <c r="D77" i="9"/>
  <c r="D78" i="9"/>
  <c r="D79" i="9"/>
  <c r="D80" i="9"/>
  <c r="D81" i="9"/>
  <c r="D82" i="9"/>
  <c r="G60" i="9"/>
  <c r="H60" i="9"/>
  <c r="I60" i="9"/>
  <c r="J60" i="9"/>
  <c r="K60" i="9"/>
  <c r="L60" i="9"/>
  <c r="M60" i="9"/>
  <c r="N60" i="9"/>
  <c r="O60" i="9"/>
  <c r="P60" i="9"/>
  <c r="Q60" i="9"/>
  <c r="R60" i="9"/>
  <c r="G61" i="9"/>
  <c r="H61" i="9"/>
  <c r="I61" i="9"/>
  <c r="J61" i="9"/>
  <c r="K61" i="9"/>
  <c r="L61" i="9"/>
  <c r="M61" i="9"/>
  <c r="N61" i="9"/>
  <c r="O61" i="9"/>
  <c r="P61" i="9"/>
  <c r="Q61" i="9"/>
  <c r="R61" i="9"/>
  <c r="G62" i="9"/>
  <c r="H62" i="9"/>
  <c r="I62" i="9"/>
  <c r="J62" i="9"/>
  <c r="K62" i="9"/>
  <c r="L62" i="9"/>
  <c r="M62" i="9"/>
  <c r="N62" i="9"/>
  <c r="O62" i="9"/>
  <c r="P62" i="9"/>
  <c r="Q62" i="9"/>
  <c r="R62" i="9"/>
  <c r="G63" i="9"/>
  <c r="H63" i="9"/>
  <c r="I63" i="9"/>
  <c r="J63" i="9"/>
  <c r="K63" i="9"/>
  <c r="L63" i="9"/>
  <c r="M63" i="9"/>
  <c r="N63" i="9"/>
  <c r="O63" i="9"/>
  <c r="P63" i="9"/>
  <c r="Q63" i="9"/>
  <c r="R63" i="9"/>
  <c r="G64" i="9"/>
  <c r="H64" i="9"/>
  <c r="I64" i="9"/>
  <c r="J64" i="9"/>
  <c r="K64" i="9"/>
  <c r="L64" i="9"/>
  <c r="M64" i="9"/>
  <c r="N64" i="9"/>
  <c r="O64" i="9"/>
  <c r="P64" i="9"/>
  <c r="Q64" i="9"/>
  <c r="R64" i="9"/>
  <c r="G65" i="9"/>
  <c r="H65" i="9"/>
  <c r="I65" i="9"/>
  <c r="J65" i="9"/>
  <c r="K65" i="9"/>
  <c r="L65" i="9"/>
  <c r="M65" i="9"/>
  <c r="N65" i="9"/>
  <c r="O65" i="9"/>
  <c r="P65" i="9"/>
  <c r="Q65" i="9"/>
  <c r="R65" i="9"/>
  <c r="G66" i="9"/>
  <c r="H66" i="9"/>
  <c r="I66" i="9"/>
  <c r="J66" i="9"/>
  <c r="K66" i="9"/>
  <c r="L66" i="9"/>
  <c r="M66" i="9"/>
  <c r="N66" i="9"/>
  <c r="O66" i="9"/>
  <c r="P66" i="9"/>
  <c r="Q66" i="9"/>
  <c r="R66" i="9"/>
  <c r="G67" i="9"/>
  <c r="H67" i="9"/>
  <c r="I67" i="9"/>
  <c r="J67" i="9"/>
  <c r="K67" i="9"/>
  <c r="L67" i="9"/>
  <c r="M67" i="9"/>
  <c r="N67" i="9"/>
  <c r="O67" i="9"/>
  <c r="P67" i="9"/>
  <c r="Q67" i="9"/>
  <c r="R67" i="9"/>
  <c r="G68" i="9"/>
  <c r="H68" i="9"/>
  <c r="I68" i="9"/>
  <c r="J68" i="9"/>
  <c r="K68" i="9"/>
  <c r="L68" i="9"/>
  <c r="M68" i="9"/>
  <c r="N68" i="9"/>
  <c r="O68" i="9"/>
  <c r="P68" i="9"/>
  <c r="Q68" i="9"/>
  <c r="R68" i="9"/>
  <c r="G69" i="9"/>
  <c r="H69" i="9"/>
  <c r="I69" i="9"/>
  <c r="J69" i="9"/>
  <c r="K69" i="9"/>
  <c r="L69" i="9"/>
  <c r="M69" i="9"/>
  <c r="N69" i="9"/>
  <c r="O69" i="9"/>
  <c r="P69" i="9"/>
  <c r="Q69" i="9"/>
  <c r="R69" i="9"/>
  <c r="G70" i="9"/>
  <c r="H70" i="9"/>
  <c r="I70" i="9"/>
  <c r="J70" i="9"/>
  <c r="K70" i="9"/>
  <c r="L70" i="9"/>
  <c r="M70" i="9"/>
  <c r="N70" i="9"/>
  <c r="O70" i="9"/>
  <c r="P70" i="9"/>
  <c r="Q70" i="9"/>
  <c r="R70" i="9"/>
  <c r="G71" i="9"/>
  <c r="H71" i="9"/>
  <c r="I71" i="9"/>
  <c r="J71" i="9"/>
  <c r="K71" i="9"/>
  <c r="L71" i="9"/>
  <c r="M71" i="9"/>
  <c r="N71" i="9"/>
  <c r="O71" i="9"/>
  <c r="P71" i="9"/>
  <c r="Q71" i="9"/>
  <c r="R71" i="9"/>
  <c r="G72" i="9"/>
  <c r="H72" i="9"/>
  <c r="I72" i="9"/>
  <c r="J72" i="9"/>
  <c r="K72" i="9"/>
  <c r="L72" i="9"/>
  <c r="M72" i="9"/>
  <c r="N72" i="9"/>
  <c r="O72" i="9"/>
  <c r="P72" i="9"/>
  <c r="Q72" i="9"/>
  <c r="R72" i="9"/>
  <c r="G73" i="9"/>
  <c r="H73" i="9"/>
  <c r="I73" i="9"/>
  <c r="J73" i="9"/>
  <c r="K73" i="9"/>
  <c r="L73" i="9"/>
  <c r="M73" i="9"/>
  <c r="N73" i="9"/>
  <c r="O73" i="9"/>
  <c r="P73" i="9"/>
  <c r="Q73" i="9"/>
  <c r="R73" i="9"/>
  <c r="G74" i="9"/>
  <c r="H74" i="9"/>
  <c r="I74" i="9"/>
  <c r="J74" i="9"/>
  <c r="K74" i="9"/>
  <c r="L74" i="9"/>
  <c r="M74" i="9"/>
  <c r="N74" i="9"/>
  <c r="O74" i="9"/>
  <c r="P74" i="9"/>
  <c r="Q74" i="9"/>
  <c r="R74" i="9"/>
  <c r="G75" i="9"/>
  <c r="H75" i="9"/>
  <c r="I75" i="9"/>
  <c r="J75" i="9"/>
  <c r="K75" i="9"/>
  <c r="L75" i="9"/>
  <c r="M75" i="9"/>
  <c r="N75" i="9"/>
  <c r="O75" i="9"/>
  <c r="P75" i="9"/>
  <c r="Q75" i="9"/>
  <c r="R75" i="9"/>
  <c r="G76" i="9"/>
  <c r="H76" i="9"/>
  <c r="I76" i="9"/>
  <c r="J76" i="9"/>
  <c r="K76" i="9"/>
  <c r="L76" i="9"/>
  <c r="M76" i="9"/>
  <c r="N76" i="9"/>
  <c r="O76" i="9"/>
  <c r="P76" i="9"/>
  <c r="Q76" i="9"/>
  <c r="R76" i="9"/>
  <c r="G77" i="9"/>
  <c r="H77" i="9"/>
  <c r="I77" i="9"/>
  <c r="J77" i="9"/>
  <c r="K77" i="9"/>
  <c r="L77" i="9"/>
  <c r="M77" i="9"/>
  <c r="N77" i="9"/>
  <c r="O77" i="9"/>
  <c r="P77" i="9"/>
  <c r="Q77" i="9"/>
  <c r="R77" i="9"/>
  <c r="G78" i="9"/>
  <c r="H78" i="9"/>
  <c r="I78" i="9"/>
  <c r="J78" i="9"/>
  <c r="K78" i="9"/>
  <c r="L78" i="9"/>
  <c r="M78" i="9"/>
  <c r="N78" i="9"/>
  <c r="O78" i="9"/>
  <c r="P78" i="9"/>
  <c r="Q78" i="9"/>
  <c r="R78" i="9"/>
  <c r="G79" i="9"/>
  <c r="H79" i="9"/>
  <c r="I79" i="9"/>
  <c r="J79" i="9"/>
  <c r="K79" i="9"/>
  <c r="L79" i="9"/>
  <c r="M79" i="9"/>
  <c r="N79" i="9"/>
  <c r="O79" i="9"/>
  <c r="P79" i="9"/>
  <c r="Q79" i="9"/>
  <c r="R79" i="9"/>
  <c r="G80" i="9"/>
  <c r="H80" i="9"/>
  <c r="I80" i="9"/>
  <c r="J80" i="9"/>
  <c r="K80" i="9"/>
  <c r="L80" i="9"/>
  <c r="M80" i="9"/>
  <c r="N80" i="9"/>
  <c r="O80" i="9"/>
  <c r="P80" i="9"/>
  <c r="Q80" i="9"/>
  <c r="R80" i="9"/>
  <c r="G81" i="9"/>
  <c r="H81" i="9"/>
  <c r="I81" i="9"/>
  <c r="J81" i="9"/>
  <c r="K81" i="9"/>
  <c r="L81" i="9"/>
  <c r="M81" i="9"/>
  <c r="N81" i="9"/>
  <c r="O81" i="9"/>
  <c r="P81" i="9"/>
  <c r="Q81" i="9"/>
  <c r="R81" i="9"/>
  <c r="G82" i="9"/>
  <c r="H82" i="9"/>
  <c r="I82" i="9"/>
  <c r="J82" i="9"/>
  <c r="K82" i="9"/>
  <c r="L82" i="9"/>
  <c r="M82" i="9"/>
  <c r="N82" i="9"/>
  <c r="O82" i="9"/>
  <c r="P82" i="9"/>
  <c r="Q82" i="9"/>
  <c r="R82" i="9"/>
  <c r="A7" i="9"/>
  <c r="A8" i="9"/>
  <c r="A9" i="9"/>
  <c r="A10" i="9"/>
  <c r="A11" i="9"/>
  <c r="B14" i="9"/>
  <c r="B17" i="9"/>
  <c r="B13" i="9"/>
  <c r="D36" i="11"/>
  <c r="D10" i="10"/>
  <c r="D66" i="11"/>
  <c r="E117" i="11"/>
  <c r="E96" i="11"/>
  <c r="D64" i="11"/>
  <c r="D25" i="10"/>
  <c r="E92" i="11"/>
  <c r="E94" i="11"/>
  <c r="E90" i="11"/>
  <c r="S16" i="15"/>
  <c r="S15" i="15"/>
  <c r="S17" i="15"/>
  <c r="S18" i="15"/>
  <c r="S19" i="15"/>
  <c r="S20" i="15"/>
  <c r="S21" i="15"/>
  <c r="S22" i="15"/>
  <c r="S23" i="15"/>
  <c r="S24" i="15"/>
  <c r="S25" i="15"/>
  <c r="S26" i="15"/>
  <c r="S27" i="15"/>
  <c r="S28" i="15"/>
  <c r="S29" i="15"/>
  <c r="S30" i="15"/>
  <c r="S31" i="15"/>
  <c r="S32" i="15"/>
  <c r="S33" i="15"/>
  <c r="S34" i="15"/>
  <c r="S35" i="15"/>
  <c r="S36" i="15"/>
  <c r="S37" i="15"/>
  <c r="S38" i="15"/>
  <c r="S39" i="15"/>
  <c r="S40" i="15"/>
  <c r="S41" i="15"/>
  <c r="S42" i="15"/>
  <c r="S43" i="15"/>
  <c r="S44" i="15"/>
  <c r="S45" i="15"/>
  <c r="S46" i="15"/>
  <c r="S47" i="15"/>
  <c r="S48" i="15"/>
  <c r="S49" i="15"/>
  <c r="S50" i="15"/>
  <c r="S51" i="15"/>
  <c r="S52" i="15"/>
  <c r="S53" i="15"/>
  <c r="S54" i="15"/>
  <c r="S14" i="15"/>
  <c r="D22" i="11"/>
  <c r="D3" i="10"/>
  <c r="D24" i="11"/>
  <c r="D4" i="10"/>
  <c r="D26" i="11"/>
  <c r="D5" i="10"/>
  <c r="D28" i="11"/>
  <c r="D6" i="10"/>
  <c r="D32" i="11"/>
  <c r="D8" i="10"/>
  <c r="D34" i="11"/>
  <c r="D9" i="10"/>
  <c r="D38" i="11"/>
  <c r="D11" i="10"/>
  <c r="D40" i="11"/>
  <c r="D12" i="10"/>
  <c r="D42" i="11"/>
  <c r="D13" i="10"/>
  <c r="D44" i="11"/>
  <c r="D14" i="10"/>
  <c r="D46" i="11"/>
  <c r="D15" i="10"/>
  <c r="D48" i="11"/>
  <c r="D16" i="10"/>
  <c r="D50" i="11"/>
  <c r="D17" i="10"/>
  <c r="D52" i="11"/>
  <c r="D18" i="10"/>
  <c r="D54" i="11"/>
  <c r="D19" i="10"/>
  <c r="D56" i="11"/>
  <c r="D20" i="10"/>
  <c r="D58" i="11"/>
  <c r="D21" i="10"/>
  <c r="D60" i="11"/>
  <c r="D22" i="10"/>
  <c r="D62" i="11"/>
  <c r="D23" i="10"/>
  <c r="D20" i="11"/>
  <c r="D2" i="10"/>
  <c r="D149" i="9"/>
  <c r="D148" i="9"/>
  <c r="D147" i="9"/>
  <c r="D146" i="9"/>
  <c r="D145" i="9"/>
  <c r="D144" i="9"/>
  <c r="D143" i="9"/>
  <c r="D142" i="9"/>
  <c r="D141" i="9"/>
  <c r="D140" i="9"/>
  <c r="D139" i="9"/>
  <c r="D138" i="9"/>
  <c r="D137" i="9"/>
  <c r="D136" i="9"/>
  <c r="D135" i="9"/>
  <c r="D134" i="9"/>
  <c r="D133" i="9"/>
  <c r="D132" i="9"/>
  <c r="D131" i="9"/>
  <c r="D130" i="9"/>
  <c r="D129" i="9"/>
  <c r="D128" i="9"/>
  <c r="D127" i="9"/>
  <c r="D126" i="9"/>
  <c r="D125" i="9"/>
  <c r="D124" i="9"/>
  <c r="D4" i="9"/>
  <c r="D17" i="9"/>
  <c r="D18" i="9"/>
  <c r="D19" i="9"/>
  <c r="D20" i="9"/>
  <c r="D21" i="9"/>
  <c r="D22" i="9"/>
  <c r="D23" i="9"/>
  <c r="D24" i="9"/>
  <c r="D5" i="9"/>
  <c r="D6" i="9"/>
  <c r="D7" i="9"/>
  <c r="D8" i="9"/>
  <c r="D9" i="9"/>
  <c r="D10" i="9"/>
  <c r="D11" i="9"/>
  <c r="D12" i="9"/>
  <c r="D13" i="9"/>
  <c r="D14" i="9"/>
  <c r="D15" i="9"/>
  <c r="D16" i="9"/>
  <c r="D25" i="9"/>
  <c r="D26" i="9"/>
  <c r="D27" i="9"/>
  <c r="D56" i="9"/>
  <c r="D58" i="9"/>
  <c r="D83" i="9"/>
  <c r="D84" i="9"/>
  <c r="D85" i="9"/>
  <c r="D86" i="9"/>
  <c r="D87" i="9"/>
  <c r="D88" i="9"/>
  <c r="D89" i="9"/>
  <c r="D90" i="9"/>
  <c r="D91" i="9"/>
  <c r="D92" i="9"/>
  <c r="D93" i="9"/>
  <c r="D94" i="9"/>
  <c r="D95" i="9"/>
  <c r="D96" i="9"/>
  <c r="D97" i="9"/>
  <c r="D98" i="9"/>
  <c r="D99" i="9"/>
  <c r="D100" i="9"/>
  <c r="D101" i="9"/>
  <c r="D102" i="9"/>
  <c r="D103" i="9"/>
  <c r="D104" i="9"/>
  <c r="D105" i="9"/>
  <c r="D106" i="9"/>
  <c r="D107" i="9"/>
  <c r="D108" i="9"/>
  <c r="D109" i="9"/>
  <c r="D110" i="9"/>
  <c r="D111" i="9"/>
  <c r="D112" i="9"/>
  <c r="D113" i="9"/>
  <c r="D114" i="9"/>
  <c r="D115" i="9"/>
  <c r="D116" i="9"/>
  <c r="D117" i="9"/>
  <c r="D118" i="9"/>
  <c r="D119" i="9"/>
  <c r="D120" i="9"/>
  <c r="D121" i="9"/>
  <c r="D122" i="9"/>
  <c r="D123" i="9"/>
  <c r="J25" i="9"/>
  <c r="J24" i="9"/>
  <c r="J23" i="9"/>
  <c r="J17" i="9"/>
  <c r="J18" i="9"/>
  <c r="J19" i="9"/>
  <c r="J22" i="9"/>
  <c r="J21" i="9"/>
  <c r="J20" i="9"/>
  <c r="B13" i="5"/>
  <c r="B17" i="5"/>
  <c r="B19" i="5"/>
  <c r="B21" i="5"/>
  <c r="P67" i="25"/>
  <c r="R67" i="25"/>
  <c r="S67" i="25"/>
  <c r="P66" i="25"/>
  <c r="R66" i="25"/>
  <c r="P65" i="25"/>
  <c r="R65" i="25"/>
  <c r="O62" i="25"/>
  <c r="Q62" i="25"/>
  <c r="P59" i="25"/>
  <c r="R59" i="25"/>
  <c r="S59" i="25"/>
  <c r="P58" i="25"/>
  <c r="R58" i="25"/>
  <c r="P57" i="25"/>
  <c r="R57" i="25"/>
  <c r="O54" i="25"/>
  <c r="Q54" i="25"/>
  <c r="P51" i="25"/>
  <c r="R51" i="25"/>
  <c r="S51" i="25"/>
  <c r="P50" i="25"/>
  <c r="R50" i="25"/>
  <c r="P49" i="25"/>
  <c r="R49" i="25"/>
  <c r="O46" i="25"/>
  <c r="Q46" i="25"/>
  <c r="O42" i="25"/>
  <c r="Q42" i="25"/>
  <c r="S42" i="25"/>
  <c r="O41" i="25"/>
  <c r="Q41" i="25"/>
  <c r="O40" i="25"/>
  <c r="Q40" i="25"/>
  <c r="P39" i="25"/>
  <c r="R39" i="25"/>
  <c r="S39" i="25"/>
  <c r="O34" i="25"/>
  <c r="Q34" i="25"/>
  <c r="S34" i="25"/>
  <c r="O33" i="25"/>
  <c r="Q33" i="25"/>
  <c r="O32" i="25"/>
  <c r="Q32" i="25"/>
  <c r="P31" i="25"/>
  <c r="R31" i="25"/>
  <c r="S31" i="25"/>
  <c r="O26" i="25"/>
  <c r="Q26" i="25"/>
  <c r="S26" i="25"/>
  <c r="O25" i="25"/>
  <c r="Q25" i="25"/>
  <c r="O24" i="25"/>
  <c r="Q24" i="25"/>
  <c r="P23" i="25"/>
  <c r="R23" i="25"/>
  <c r="S23" i="25"/>
  <c r="O65" i="25"/>
  <c r="Q65" i="25"/>
  <c r="S65" i="25"/>
  <c r="P64" i="25"/>
  <c r="R64" i="25"/>
  <c r="S64" i="25"/>
  <c r="O63" i="25"/>
  <c r="Q63" i="25"/>
  <c r="O57" i="25"/>
  <c r="Q57" i="25"/>
  <c r="S57" i="25"/>
  <c r="P56" i="25"/>
  <c r="R56" i="25"/>
  <c r="S56" i="25"/>
  <c r="O55" i="25"/>
  <c r="Q55" i="25"/>
  <c r="O49" i="25"/>
  <c r="Q49" i="25"/>
  <c r="S49" i="25"/>
  <c r="P48" i="25"/>
  <c r="R48" i="25"/>
  <c r="S48" i="25"/>
  <c r="O47" i="25"/>
  <c r="Q47" i="25"/>
  <c r="N17" i="9"/>
  <c r="N18" i="9"/>
  <c r="N19" i="9"/>
  <c r="N20" i="9"/>
  <c r="N21" i="9"/>
  <c r="N22" i="9"/>
  <c r="B16" i="9"/>
  <c r="P38" i="25"/>
  <c r="R38" i="25"/>
  <c r="S38" i="25"/>
  <c r="P30" i="25"/>
  <c r="R30" i="25"/>
  <c r="S30" i="25"/>
  <c r="P22" i="25"/>
  <c r="R22" i="25"/>
  <c r="S22" i="25"/>
  <c r="O66" i="25"/>
  <c r="Q66" i="25"/>
  <c r="S66" i="25"/>
  <c r="P63" i="25"/>
  <c r="R63" i="25"/>
  <c r="P62" i="25"/>
  <c r="R62" i="25"/>
  <c r="P61" i="25"/>
  <c r="R61" i="25"/>
  <c r="S61" i="25"/>
  <c r="O58" i="25"/>
  <c r="Q58" i="25"/>
  <c r="S58" i="25"/>
  <c r="P55" i="25"/>
  <c r="R55" i="25"/>
  <c r="P54" i="25"/>
  <c r="R54" i="25"/>
  <c r="P53" i="25"/>
  <c r="R53" i="25"/>
  <c r="S53" i="25"/>
  <c r="O50" i="25"/>
  <c r="Q50" i="25"/>
  <c r="S50" i="25"/>
  <c r="P47" i="25"/>
  <c r="R47" i="25"/>
  <c r="P46" i="25"/>
  <c r="R46" i="25"/>
  <c r="P45" i="25"/>
  <c r="R45" i="25"/>
  <c r="S45" i="25"/>
  <c r="B15" i="9"/>
  <c r="C8" i="13"/>
  <c r="S62" i="25"/>
  <c r="S54" i="25"/>
  <c r="S46" i="25"/>
  <c r="S63" i="25"/>
  <c r="S55" i="25"/>
  <c r="S47" i="25"/>
  <c r="P41" i="25"/>
  <c r="R41" i="25"/>
  <c r="S41" i="25"/>
  <c r="P37" i="25"/>
  <c r="R37" i="25"/>
  <c r="S37" i="25"/>
  <c r="P33" i="25"/>
  <c r="R33" i="25"/>
  <c r="S33" i="25"/>
  <c r="P29" i="25"/>
  <c r="R29" i="25"/>
  <c r="S29" i="25"/>
  <c r="P25" i="25"/>
  <c r="R25" i="25"/>
  <c r="S25" i="25"/>
  <c r="P21" i="25"/>
  <c r="R21" i="25"/>
  <c r="S21" i="25"/>
  <c r="P40" i="25"/>
  <c r="R40" i="25"/>
  <c r="S40" i="25"/>
  <c r="P36" i="25"/>
  <c r="R36" i="25"/>
  <c r="S36" i="25"/>
  <c r="P32" i="25"/>
  <c r="R32" i="25"/>
  <c r="S32" i="25"/>
  <c r="P28" i="25"/>
  <c r="R28" i="25"/>
  <c r="S28" i="25"/>
  <c r="P24" i="25"/>
  <c r="R24" i="25"/>
  <c r="S24" i="25"/>
  <c r="P20" i="25"/>
  <c r="R20" i="25"/>
  <c r="S20" i="25"/>
  <c r="C14" i="13"/>
  <c r="C10" i="13"/>
  <c r="D10" i="13"/>
  <c r="E10" i="13"/>
  <c r="F10" i="13"/>
  <c r="G10" i="13"/>
  <c r="H10" i="13"/>
  <c r="I10" i="13"/>
  <c r="J10" i="13"/>
  <c r="K10" i="13"/>
  <c r="L10" i="13"/>
  <c r="M10" i="13"/>
  <c r="N10" i="13"/>
  <c r="O10" i="13"/>
  <c r="P10" i="13"/>
  <c r="C11" i="13"/>
  <c r="D11" i="13"/>
  <c r="E11" i="13"/>
  <c r="F11" i="13"/>
  <c r="G11" i="13"/>
  <c r="H11" i="13"/>
  <c r="I11" i="13"/>
  <c r="J11" i="13"/>
  <c r="K11" i="13"/>
  <c r="L11" i="13"/>
  <c r="M11" i="13"/>
  <c r="N11" i="13"/>
  <c r="O11" i="13"/>
  <c r="P11" i="13"/>
  <c r="D4" i="1"/>
  <c r="E4" i="1" s="1"/>
  <c r="F4" i="1" s="1"/>
  <c r="G4" i="1" s="1"/>
  <c r="C9" i="13"/>
  <c r="D9" i="13"/>
  <c r="C13" i="13"/>
  <c r="C21" i="13"/>
  <c r="C20" i="13"/>
  <c r="D13" i="13"/>
  <c r="C19" i="13"/>
  <c r="D8" i="13"/>
  <c r="C18" i="13"/>
  <c r="B71" i="1"/>
  <c r="D14" i="13"/>
  <c r="C22" i="13"/>
  <c r="I6" i="9"/>
  <c r="I5" i="9"/>
  <c r="I4" i="9"/>
  <c r="E8" i="13"/>
  <c r="D18" i="13"/>
  <c r="I7" i="9"/>
  <c r="E13" i="13"/>
  <c r="D21" i="13"/>
  <c r="B70" i="1"/>
  <c r="I86" i="9"/>
  <c r="I9" i="9"/>
  <c r="I87" i="9"/>
  <c r="E14" i="13"/>
  <c r="D22" i="13"/>
  <c r="I120" i="9"/>
  <c r="D19" i="13"/>
  <c r="I24" i="9"/>
  <c r="I122" i="9"/>
  <c r="E9" i="13"/>
  <c r="D20" i="13"/>
  <c r="I83" i="9"/>
  <c r="I94" i="9"/>
  <c r="I98" i="9"/>
  <c r="I116" i="9"/>
  <c r="I85" i="9"/>
  <c r="I118" i="9"/>
  <c r="I115" i="9"/>
  <c r="I109" i="9"/>
  <c r="I17" i="9"/>
  <c r="I103" i="9"/>
  <c r="I15" i="9"/>
  <c r="I112" i="9"/>
  <c r="I104" i="9"/>
  <c r="I101" i="9"/>
  <c r="I105" i="9"/>
  <c r="I12" i="9"/>
  <c r="I2" i="9"/>
  <c r="I93" i="9"/>
  <c r="I111" i="9"/>
  <c r="I119" i="9"/>
  <c r="I106" i="9"/>
  <c r="I102" i="9"/>
  <c r="I108" i="9"/>
  <c r="I26" i="9"/>
  <c r="I28" i="9"/>
  <c r="I107" i="9"/>
  <c r="I21" i="9"/>
  <c r="I100" i="9"/>
  <c r="I16" i="9"/>
  <c r="I13" i="9"/>
  <c r="I91" i="9"/>
  <c r="I89" i="9"/>
  <c r="I25" i="9"/>
  <c r="I84" i="9"/>
  <c r="C71" i="1"/>
  <c r="F14" i="13"/>
  <c r="E22" i="13"/>
  <c r="F13" i="13"/>
  <c r="E21" i="13"/>
  <c r="F8" i="13"/>
  <c r="E18" i="13"/>
  <c r="E19" i="13"/>
  <c r="F9" i="13"/>
  <c r="E20" i="13"/>
  <c r="I121" i="9"/>
  <c r="I97" i="9"/>
  <c r="I110" i="9"/>
  <c r="I11" i="9"/>
  <c r="I19" i="9"/>
  <c r="I27" i="9"/>
  <c r="I96" i="9"/>
  <c r="I14" i="9"/>
  <c r="I22" i="9"/>
  <c r="I3" i="9"/>
  <c r="I90" i="9"/>
  <c r="I117" i="9"/>
  <c r="I95" i="9"/>
  <c r="I23" i="9"/>
  <c r="I18" i="9"/>
  <c r="I29" i="9"/>
  <c r="I113" i="9"/>
  <c r="I88" i="9"/>
  <c r="I92" i="9"/>
  <c r="I114" i="9"/>
  <c r="I58" i="9"/>
  <c r="I8" i="9"/>
  <c r="I20" i="9"/>
  <c r="I10" i="9"/>
  <c r="I123" i="9"/>
  <c r="I99" i="9"/>
  <c r="C70" i="1"/>
  <c r="F19" i="13"/>
  <c r="F21" i="13"/>
  <c r="G13" i="13"/>
  <c r="F22" i="13"/>
  <c r="G14" i="13"/>
  <c r="F18" i="13"/>
  <c r="G8" i="13"/>
  <c r="G9" i="13"/>
  <c r="F20" i="13"/>
  <c r="H8" i="13"/>
  <c r="G18" i="13"/>
  <c r="G22" i="13"/>
  <c r="H14" i="13"/>
  <c r="H12" i="13"/>
  <c r="D71" i="1"/>
  <c r="H9" i="13"/>
  <c r="G20" i="13"/>
  <c r="G21" i="13"/>
  <c r="H13" i="13"/>
  <c r="B67" i="1"/>
  <c r="I8" i="13"/>
  <c r="H18" i="13"/>
  <c r="I13" i="13"/>
  <c r="H21" i="13"/>
  <c r="I9" i="13"/>
  <c r="H20" i="13"/>
  <c r="I12" i="13"/>
  <c r="H19" i="13"/>
  <c r="I14" i="13"/>
  <c r="H22" i="13"/>
  <c r="C67" i="1"/>
  <c r="D70" i="1"/>
  <c r="G71" i="1"/>
  <c r="E71" i="1"/>
  <c r="F71" i="1"/>
  <c r="E70" i="1"/>
  <c r="J12" i="13"/>
  <c r="I19" i="13"/>
  <c r="J8" i="13"/>
  <c r="I18" i="13"/>
  <c r="G70" i="1"/>
  <c r="I20" i="13"/>
  <c r="J9" i="13"/>
  <c r="I21" i="13"/>
  <c r="J13" i="13"/>
  <c r="I22" i="13"/>
  <c r="J14" i="13"/>
  <c r="K13" i="13"/>
  <c r="J21" i="13"/>
  <c r="K9" i="13"/>
  <c r="J20" i="13"/>
  <c r="K8" i="13"/>
  <c r="J18" i="13"/>
  <c r="J22" i="13"/>
  <c r="K14" i="13"/>
  <c r="K12" i="13"/>
  <c r="J19" i="13"/>
  <c r="F70" i="1"/>
  <c r="K19" i="13"/>
  <c r="L12" i="13"/>
  <c r="K18" i="13"/>
  <c r="L8" i="13"/>
  <c r="K20" i="13"/>
  <c r="L9" i="13"/>
  <c r="K22" i="13"/>
  <c r="L14" i="13"/>
  <c r="K21" i="13"/>
  <c r="L13" i="13"/>
  <c r="M8" i="13"/>
  <c r="L18" i="13"/>
  <c r="L21" i="13"/>
  <c r="M13" i="13"/>
  <c r="M9" i="13"/>
  <c r="L20" i="13"/>
  <c r="M12" i="13"/>
  <c r="L19" i="13"/>
  <c r="M14" i="13"/>
  <c r="L22" i="13"/>
  <c r="M20" i="13"/>
  <c r="N9" i="13"/>
  <c r="M22" i="13"/>
  <c r="N14" i="13"/>
  <c r="N13" i="13"/>
  <c r="M21" i="13"/>
  <c r="N12" i="13"/>
  <c r="M19" i="13"/>
  <c r="M18" i="13"/>
  <c r="N8" i="13"/>
  <c r="N18" i="13"/>
  <c r="O8" i="13"/>
  <c r="N21" i="13"/>
  <c r="O13" i="13"/>
  <c r="N22" i="13"/>
  <c r="O14" i="13"/>
  <c r="O12" i="13"/>
  <c r="N19" i="13"/>
  <c r="N20" i="13"/>
  <c r="O9" i="13"/>
  <c r="O21" i="13"/>
  <c r="P13" i="13"/>
  <c r="P21" i="13"/>
  <c r="P8" i="13"/>
  <c r="P18" i="13"/>
  <c r="O18" i="13"/>
  <c r="O20" i="13"/>
  <c r="P9" i="13"/>
  <c r="P20" i="13"/>
  <c r="O19" i="13"/>
  <c r="P12" i="13"/>
  <c r="P19" i="13"/>
  <c r="O22" i="13"/>
  <c r="P14" i="13"/>
  <c r="P22" i="13"/>
  <c r="E67" i="1"/>
  <c r="D67" i="1"/>
  <c r="F67" i="1"/>
  <c r="G67" i="1"/>
  <c r="B13" i="1" l="1"/>
  <c r="C13" i="1" s="1"/>
  <c r="B41" i="1"/>
  <c r="F19" i="26"/>
  <c r="D28" i="8"/>
  <c r="B22" i="1" s="1"/>
  <c r="D72" i="8"/>
  <c r="B40" i="1" s="1"/>
  <c r="D94" i="8"/>
  <c r="B50" i="1" s="1"/>
  <c r="D43" i="8"/>
  <c r="D87" i="8"/>
  <c r="D50" i="8"/>
  <c r="B30" i="1" s="1"/>
  <c r="B14" i="1" l="1"/>
  <c r="B16" i="1" s="1"/>
  <c r="B17" i="1" s="1"/>
  <c r="D13" i="1"/>
  <c r="E13" i="1" s="1"/>
  <c r="F13" i="1" s="1"/>
  <c r="G13" i="1" s="1"/>
  <c r="G14" i="1" s="1"/>
  <c r="C14" i="1"/>
  <c r="C65" i="1" s="1"/>
  <c r="D14" i="1"/>
  <c r="D65" i="1" s="1"/>
  <c r="B65" i="1"/>
  <c r="E14" i="1"/>
  <c r="E65" i="1" s="1"/>
  <c r="F14" i="1"/>
  <c r="F65" i="1" s="1"/>
  <c r="C16" i="1"/>
  <c r="D16" i="1" s="1"/>
  <c r="G19" i="26"/>
  <c r="H19" i="26" s="1"/>
  <c r="D65" i="8"/>
  <c r="B46" i="1" s="1"/>
  <c r="G65" i="1"/>
  <c r="H50" i="8"/>
  <c r="D30" i="1" s="1"/>
  <c r="F94" i="8"/>
  <c r="C50" i="1" s="1"/>
  <c r="H94" i="8"/>
  <c r="D50" i="1" s="1"/>
  <c r="F87" i="8"/>
  <c r="C49" i="1" s="1"/>
  <c r="F65" i="8"/>
  <c r="C38" i="1" s="1"/>
  <c r="F28" i="8"/>
  <c r="C22" i="1" s="1"/>
  <c r="F43" i="8"/>
  <c r="C29" i="1" s="1"/>
  <c r="J94" i="8"/>
  <c r="E50" i="1" s="1"/>
  <c r="F72" i="8"/>
  <c r="C40" i="1" s="1"/>
  <c r="J28" i="8"/>
  <c r="E22" i="1" s="1"/>
  <c r="F50" i="8"/>
  <c r="C30" i="1" s="1"/>
  <c r="J72" i="8"/>
  <c r="E40" i="1" s="1"/>
  <c r="H43" i="8"/>
  <c r="D29" i="1" s="1"/>
  <c r="B56" i="1"/>
  <c r="H72" i="8"/>
  <c r="D40" i="1" s="1"/>
  <c r="H87" i="8"/>
  <c r="D49" i="1" s="1"/>
  <c r="B35" i="1"/>
  <c r="H65" i="8"/>
  <c r="D38" i="1" s="1"/>
  <c r="H28" i="8"/>
  <c r="D22" i="1" s="1"/>
  <c r="J43" i="8"/>
  <c r="E29" i="1" s="1"/>
  <c r="J65" i="8"/>
  <c r="E38" i="1" s="1"/>
  <c r="J50" i="8"/>
  <c r="E30" i="1" s="1"/>
  <c r="J87" i="8"/>
  <c r="E49" i="1" s="1"/>
  <c r="D21" i="8" l="1"/>
  <c r="B26" i="1" s="1"/>
  <c r="C17" i="1"/>
  <c r="D17" i="1"/>
  <c r="E16" i="1"/>
  <c r="B58" i="1"/>
  <c r="I19" i="26"/>
  <c r="F15" i="8" a="1"/>
  <c r="F15" i="8" s="1"/>
  <c r="F12" i="8" a="1"/>
  <c r="F12" i="8" s="1"/>
  <c r="F19" i="8" a="1"/>
  <c r="F19" i="8" s="1"/>
  <c r="F16" i="8" a="1"/>
  <c r="F16" i="8" s="1"/>
  <c r="F13" i="8" a="1"/>
  <c r="F13" i="8" s="1"/>
  <c r="F20" i="8" a="1"/>
  <c r="F20" i="8" s="1"/>
  <c r="F17" i="8" a="1"/>
  <c r="F17" i="8" s="1"/>
  <c r="F14" i="8" a="1"/>
  <c r="F14" i="8" s="1"/>
  <c r="F18" i="8" a="1"/>
  <c r="F18" i="8" s="1"/>
  <c r="F11" i="8" a="1"/>
  <c r="F11" i="8" s="1"/>
  <c r="B66" i="1"/>
  <c r="B68" i="1" s="1"/>
  <c r="D56" i="1"/>
  <c r="C35" i="1"/>
  <c r="C46" i="1"/>
  <c r="D35" i="1"/>
  <c r="C56" i="1"/>
  <c r="E56" i="1"/>
  <c r="D46" i="1"/>
  <c r="E46" i="1"/>
  <c r="L87" i="8"/>
  <c r="F49" i="1" s="1"/>
  <c r="L50" i="8"/>
  <c r="F30" i="1" s="1"/>
  <c r="L72" i="8"/>
  <c r="F40" i="1" s="1"/>
  <c r="L94" i="8"/>
  <c r="F50" i="1" s="1"/>
  <c r="L43" i="8"/>
  <c r="F29" i="1" s="1"/>
  <c r="L65" i="8"/>
  <c r="F38" i="1" s="1"/>
  <c r="E35" i="1"/>
  <c r="L28" i="8"/>
  <c r="F22" i="1" s="1"/>
  <c r="D96" i="8" l="1"/>
  <c r="B60" i="1"/>
  <c r="F16" i="1"/>
  <c r="E17" i="1"/>
  <c r="J19" i="26"/>
  <c r="H18" i="8" a="1"/>
  <c r="H18" i="8" s="1"/>
  <c r="H15" i="8" a="1"/>
  <c r="H15" i="8" s="1"/>
  <c r="H12" i="8" a="1"/>
  <c r="H12" i="8" s="1"/>
  <c r="H19" i="8" a="1"/>
  <c r="H19" i="8" s="1"/>
  <c r="H16" i="8" a="1"/>
  <c r="H16" i="8" s="1"/>
  <c r="H13" i="8" a="1"/>
  <c r="H13" i="8" s="1"/>
  <c r="H20" i="8" a="1"/>
  <c r="H20" i="8" s="1"/>
  <c r="H17" i="8" a="1"/>
  <c r="H17" i="8" s="1"/>
  <c r="H11" i="8" a="1"/>
  <c r="H11" i="8" s="1"/>
  <c r="H14" i="8" a="1"/>
  <c r="H14" i="8" s="1"/>
  <c r="F21" i="8"/>
  <c r="C20" i="1" s="1"/>
  <c r="F35" i="1"/>
  <c r="F46" i="1"/>
  <c r="F56" i="1"/>
  <c r="N94" i="8"/>
  <c r="G50" i="1" s="1"/>
  <c r="N50" i="8"/>
  <c r="G30" i="1" s="1"/>
  <c r="N87" i="8"/>
  <c r="G49" i="1" s="1"/>
  <c r="N43" i="8"/>
  <c r="G29" i="1" s="1"/>
  <c r="N21" i="8"/>
  <c r="G20" i="1" s="1"/>
  <c r="N72" i="8"/>
  <c r="G40" i="1" s="1"/>
  <c r="N28" i="8"/>
  <c r="G22" i="1" s="1"/>
  <c r="N65" i="8"/>
  <c r="G38" i="1" s="1"/>
  <c r="G16" i="1" l="1"/>
  <c r="G17" i="1" s="1"/>
  <c r="F17" i="1"/>
  <c r="C66" i="1"/>
  <c r="C68" i="1" s="1"/>
  <c r="C26" i="1"/>
  <c r="C58" i="1" s="1"/>
  <c r="H21" i="8"/>
  <c r="D20" i="1" s="1"/>
  <c r="K19" i="26"/>
  <c r="J12" i="8" a="1"/>
  <c r="J12" i="8" s="1"/>
  <c r="J20" i="8" a="1"/>
  <c r="J20" i="8" s="1"/>
  <c r="J13" i="8" a="1"/>
  <c r="J13" i="8" s="1"/>
  <c r="J14" i="8" a="1"/>
  <c r="J14" i="8" s="1"/>
  <c r="J15" i="8" a="1"/>
  <c r="J15" i="8" s="1"/>
  <c r="J16" i="8" a="1"/>
  <c r="J16" i="8" s="1"/>
  <c r="J17" i="8" a="1"/>
  <c r="J17" i="8" s="1"/>
  <c r="J11" i="8" a="1"/>
  <c r="J11" i="8" s="1"/>
  <c r="J19" i="8" a="1"/>
  <c r="J19" i="8" s="1"/>
  <c r="J18" i="8" a="1"/>
  <c r="J18" i="8" s="1"/>
  <c r="G56" i="1"/>
  <c r="G35" i="1"/>
  <c r="G46" i="1"/>
  <c r="G26" i="1"/>
  <c r="G66" i="1"/>
  <c r="G68" i="1" s="1"/>
  <c r="C60" i="1" l="1"/>
  <c r="D66" i="1"/>
  <c r="D68" i="1" s="1"/>
  <c r="D26" i="1"/>
  <c r="D58" i="1" s="1"/>
  <c r="J21" i="8"/>
  <c r="E20" i="1" s="1"/>
  <c r="L15" i="8" a="1"/>
  <c r="L15" i="8" s="1"/>
  <c r="L16" i="8" a="1"/>
  <c r="L16" i="8" s="1"/>
  <c r="L17" i="8" a="1"/>
  <c r="L17" i="8" s="1"/>
  <c r="L18" i="8" a="1"/>
  <c r="L18" i="8" s="1"/>
  <c r="L19" i="26"/>
  <c r="L19" i="8" a="1"/>
  <c r="L19" i="8" s="1"/>
  <c r="L12" i="8" a="1"/>
  <c r="L12" i="8" s="1"/>
  <c r="L20" i="8" a="1"/>
  <c r="L20" i="8" s="1"/>
  <c r="L13" i="8" a="1"/>
  <c r="L13" i="8" s="1"/>
  <c r="L14" i="8" a="1"/>
  <c r="L14" i="8" s="1"/>
  <c r="L11" i="8" a="1"/>
  <c r="L11" i="8" s="1"/>
  <c r="G58" i="1"/>
  <c r="D60" i="1" l="1"/>
  <c r="G60" i="1"/>
  <c r="L21" i="8"/>
  <c r="F20" i="1" s="1"/>
  <c r="E66" i="1"/>
  <c r="E68" i="1" s="1"/>
  <c r="E26" i="1"/>
  <c r="E58" i="1" s="1"/>
  <c r="E60" i="1" l="1"/>
  <c r="F26" i="1"/>
  <c r="F58" i="1" s="1"/>
  <c r="F66" i="1"/>
  <c r="F68" i="1" s="1"/>
  <c r="F6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<sst xmlns="http://schemas.openxmlformats.org/spreadsheetml/2006/main" count="1808" uniqueCount="514">
  <si>
    <t>Example Micro-credential Financial Modelling Template</t>
  </si>
  <si>
    <t>This template is set up to be easily adjusted for different income arrangements.</t>
  </si>
  <si>
    <t>GRANT Income</t>
  </si>
  <si>
    <t>Grant income or one-off development investment.</t>
  </si>
  <si>
    <t>ENROLMENTS PER MICRO-CREDENTIAL INSTANCE</t>
  </si>
  <si>
    <t>Can adjust this for different scenarios, maximum enrolments, expected enrolments or minimum enrolments.</t>
  </si>
  <si>
    <t>MICRO-CREDENTIAL INSTANCES PER YEAR</t>
  </si>
  <si>
    <t>e.g. once per year (1), once per trimester (3), two groups in one study period (2), etc.</t>
  </si>
  <si>
    <t>TOTAL ENROLMENTS PER YEAR</t>
  </si>
  <si>
    <t>Enrolments per instance x micro-credential instances.</t>
  </si>
  <si>
    <t>TUITION FEE PER ENROLMENT</t>
  </si>
  <si>
    <t>Tuition fee assumes a 5% price increase each year.</t>
  </si>
  <si>
    <t>STUDENTS TAKING ASSESMENT</t>
  </si>
  <si>
    <t>Only applicable if there is an additional fee to sit assessment.</t>
  </si>
  <si>
    <t>EXTRA FEES TO TAKE ASSESSMENT</t>
  </si>
  <si>
    <t>TOTAL INCOME</t>
  </si>
  <si>
    <t>Total income calculated based on input above.</t>
  </si>
  <si>
    <t>Items like Grant income and additional assessment fees can be hidden (Grouped) if not applicable.</t>
  </si>
  <si>
    <t>Development</t>
  </si>
  <si>
    <t>Academic Salaries - see salary calc tab</t>
  </si>
  <si>
    <t>Salary calculations are linked to the 'Salary Calc' page for the Development Section.</t>
  </si>
  <si>
    <t>Gen/Tech Salaries - see salary calc tab</t>
  </si>
  <si>
    <t>Consultancy</t>
  </si>
  <si>
    <t>If any external consultancy is required for development.</t>
  </si>
  <si>
    <t>TOTAL DEVELOPMENT COSTS</t>
  </si>
  <si>
    <t>Marketing Costs</t>
  </si>
  <si>
    <t>Salary calculations are linked to the 'Salary Calc' page for Marketing times by the number of instances each year.</t>
  </si>
  <si>
    <t xml:space="preserve">Social Marketing </t>
  </si>
  <si>
    <t>Enter amount for the first year and each year after that there is a 2% increase.</t>
  </si>
  <si>
    <t>Advertising</t>
  </si>
  <si>
    <t>Flier printing</t>
  </si>
  <si>
    <t>Extra lines can be added for additional items.</t>
  </si>
  <si>
    <t>TOTAL MARKETING COSTS</t>
  </si>
  <si>
    <t>Delivery Costs</t>
  </si>
  <si>
    <t>Salary calculations are linked to the 'Salary Calc' page for Delivery, times by the number of instances each year.</t>
  </si>
  <si>
    <t>Salary calculations are linked to the 'Salary Calc' page for Delivery, times  by the number of instances each year.</t>
  </si>
  <si>
    <t>Will there be any PL Hub on-line hosting fees? One-off or ongoing? Can be linked to number of enrolments.</t>
  </si>
  <si>
    <t>Lines for any other delivery costs.</t>
  </si>
  <si>
    <t>TOTAL DELIVERY COSTS</t>
  </si>
  <si>
    <t>Assessment Costs</t>
  </si>
  <si>
    <t xml:space="preserve">The formula for the assesment costs would need to be adjusted if the fees were divided for assesment and no assesment. </t>
  </si>
  <si>
    <t>Salary calculations are linked to the 'Salary Calc' page for assesment, times by the number of instances each year.</t>
  </si>
  <si>
    <t>Lines for any other assesment costs.</t>
  </si>
  <si>
    <t>TOTAL ASSESSMENT COSTS</t>
  </si>
  <si>
    <t>TOTAL DIRECT EXPENSES ($'000)</t>
  </si>
  <si>
    <r>
      <t xml:space="preserve">This total does </t>
    </r>
    <r>
      <rPr>
        <b/>
        <sz val="11"/>
        <color theme="1"/>
        <rFont val="Calibri"/>
        <family val="2"/>
        <scheme val="minor"/>
      </rPr>
      <t>not</t>
    </r>
    <r>
      <rPr>
        <sz val="11"/>
        <color theme="1"/>
        <rFont val="Calibri"/>
        <family val="2"/>
        <scheme val="minor"/>
      </rPr>
      <t xml:space="preserve"> include any non-direct School, Group or University level costs.</t>
    </r>
  </si>
  <si>
    <t>DIRECT COST - MARGIN ($'000)</t>
  </si>
  <si>
    <r>
      <t xml:space="preserve">This margin does </t>
    </r>
    <r>
      <rPr>
        <b/>
        <sz val="11"/>
        <color theme="1"/>
        <rFont val="Calibri"/>
        <family val="2"/>
        <scheme val="minor"/>
      </rPr>
      <t>not</t>
    </r>
    <r>
      <rPr>
        <sz val="11"/>
        <color theme="1"/>
        <rFont val="Calibri"/>
        <family val="2"/>
        <scheme val="minor"/>
      </rPr>
      <t xml:space="preserve"> include any non-direct School, Group or University level costs.</t>
    </r>
  </si>
  <si>
    <t>DIRECT COST - MARGIN %</t>
  </si>
  <si>
    <t>Income</t>
  </si>
  <si>
    <t>Salary</t>
  </si>
  <si>
    <t>Non-Salary</t>
  </si>
  <si>
    <t>International Income</t>
  </si>
  <si>
    <t>Domestic Income</t>
  </si>
  <si>
    <t>Salary Assumptions</t>
  </si>
  <si>
    <t xml:space="preserve">This tab should be used to input any salary assumptions in relation to the new program. </t>
  </si>
  <si>
    <t>KEY</t>
  </si>
  <si>
    <t>Requires Input</t>
  </si>
  <si>
    <t>Drop Down List</t>
  </si>
  <si>
    <t>DEVELOPMENT</t>
  </si>
  <si>
    <t>Academic Position #</t>
  </si>
  <si>
    <t>Level</t>
  </si>
  <si>
    <t>Hours</t>
  </si>
  <si>
    <t>Cost</t>
  </si>
  <si>
    <t>Comment</t>
  </si>
  <si>
    <t>CSL.Step6</t>
  </si>
  <si>
    <t>Gen/Tech Staff Position #</t>
  </si>
  <si>
    <t>MARKETING</t>
  </si>
  <si>
    <t>DELIVERY</t>
  </si>
  <si>
    <t>ASSESSMENT</t>
  </si>
  <si>
    <t>Griffith University Academic Salary Scales</t>
  </si>
  <si>
    <t>Effective:</t>
  </si>
  <si>
    <t>Wage Code</t>
  </si>
  <si>
    <t>Current Annual Salary</t>
  </si>
  <si>
    <t>Fortnightly Salary</t>
  </si>
  <si>
    <t>Hourly Salary Rate</t>
  </si>
  <si>
    <t>Incl oncost</t>
  </si>
  <si>
    <t>$</t>
  </si>
  <si>
    <t>AAL.Step1</t>
  </si>
  <si>
    <t>AAL.Step2</t>
  </si>
  <si>
    <t>AAL.Step3</t>
  </si>
  <si>
    <t>AAL.Step4</t>
  </si>
  <si>
    <t>AAL.Step5</t>
  </si>
  <si>
    <t>AAL.Step6</t>
  </si>
  <si>
    <t>AAL.Step7</t>
  </si>
  <si>
    <t>AAL.Step8</t>
  </si>
  <si>
    <t>BLT.Step1</t>
  </si>
  <si>
    <t>BLT.Step2</t>
  </si>
  <si>
    <t>BLT.Step3</t>
  </si>
  <si>
    <t>BLT.Step4</t>
  </si>
  <si>
    <t>BLT.Step5</t>
  </si>
  <si>
    <t>BLT.Step6</t>
  </si>
  <si>
    <t>CSL.Step1</t>
  </si>
  <si>
    <t>CSL.Step2</t>
  </si>
  <si>
    <t>CSL.Step3</t>
  </si>
  <si>
    <t>CSL.Step4</t>
  </si>
  <si>
    <t>CSL.Step5</t>
  </si>
  <si>
    <t>DAP.Step1</t>
  </si>
  <si>
    <t>DAP.Step2</t>
  </si>
  <si>
    <t>DAP.Step3</t>
  </si>
  <si>
    <t>DAP.Step4</t>
  </si>
  <si>
    <t>EPR.Step1</t>
  </si>
  <si>
    <t>H01.Step1</t>
  </si>
  <si>
    <t>H01.Step2</t>
  </si>
  <si>
    <t>H01.Step3</t>
  </si>
  <si>
    <t>H02.Step1</t>
  </si>
  <si>
    <t>H02.Step2</t>
  </si>
  <si>
    <t>H03.Step1</t>
  </si>
  <si>
    <t>H03.Step2</t>
  </si>
  <si>
    <t>H03.Step3</t>
  </si>
  <si>
    <t>H03.Step4</t>
  </si>
  <si>
    <t>H03.Step5</t>
  </si>
  <si>
    <t>H04.Step1</t>
  </si>
  <si>
    <t>H04.Step2</t>
  </si>
  <si>
    <t>H04.Step3</t>
  </si>
  <si>
    <t>H05.Step1</t>
  </si>
  <si>
    <t>H05.Step2</t>
  </si>
  <si>
    <t>H05.Step3</t>
  </si>
  <si>
    <t>H05.Step4</t>
  </si>
  <si>
    <t>H05.Step5</t>
  </si>
  <si>
    <t>H06.Step1</t>
  </si>
  <si>
    <t>H06.Step2</t>
  </si>
  <si>
    <t>H06.Step3</t>
  </si>
  <si>
    <t>H07.Step1</t>
  </si>
  <si>
    <t>H07.Step2</t>
  </si>
  <si>
    <t>H07.Step3</t>
  </si>
  <si>
    <t>H08.Step1</t>
  </si>
  <si>
    <t>H08.Step2</t>
  </si>
  <si>
    <t>H08.Step3</t>
  </si>
  <si>
    <t>H08.Step4</t>
  </si>
  <si>
    <t>H09.Step1</t>
  </si>
  <si>
    <t>H09.Step2</t>
  </si>
  <si>
    <t>H10.Step1</t>
  </si>
  <si>
    <t>BREAK EVEN POINT ANALYSIS</t>
  </si>
  <si>
    <t>PROGRAM TITLE</t>
  </si>
  <si>
    <t>Gross revenue per enrolment</t>
  </si>
  <si>
    <t>Net revenue per enrolment (excl. Fixed cost)</t>
  </si>
  <si>
    <t>Fixed Cost</t>
  </si>
  <si>
    <t>Number of enrolments</t>
  </si>
  <si>
    <t>Gross Revenue from enrolments</t>
  </si>
  <si>
    <t>Target CM %</t>
  </si>
  <si>
    <t>Target CM $</t>
  </si>
  <si>
    <t>CM at this student number</t>
  </si>
  <si>
    <t>Surplus/(Shortfall)</t>
  </si>
  <si>
    <t>Type</t>
  </si>
  <si>
    <t>PG</t>
  </si>
  <si>
    <t>Mode</t>
  </si>
  <si>
    <t>UG</t>
  </si>
  <si>
    <t>Department</t>
  </si>
  <si>
    <t>On Campus</t>
  </si>
  <si>
    <t>Online</t>
  </si>
  <si>
    <t>Category</t>
  </si>
  <si>
    <t>Cost per EFTSL</t>
  </si>
  <si>
    <t>Casual Costs per EFTSL - School</t>
  </si>
  <si>
    <t>Casual Costs per EFTSL - Group</t>
  </si>
  <si>
    <t>General Staff Costs per EFTSL - School</t>
  </si>
  <si>
    <t>General Staff Costs per EFTSL - Group</t>
  </si>
  <si>
    <t>Non Salary per EFTSL - School</t>
  </si>
  <si>
    <t>Non Salary per EFTSL - Group</t>
  </si>
  <si>
    <t>Central Cost per EFTSL</t>
  </si>
  <si>
    <t>School Salaries (Exec/Admin staff costs by EFTSL)</t>
  </si>
  <si>
    <t xml:space="preserve">School Non-Salary </t>
  </si>
  <si>
    <t>Group Salaries (Admin staff costs by EFTSL)</t>
  </si>
  <si>
    <t>Group Non-Salary</t>
  </si>
  <si>
    <t>Central Costs</t>
  </si>
  <si>
    <t>Group</t>
  </si>
  <si>
    <t>School</t>
  </si>
  <si>
    <t>Non-Sal School per EFTSL</t>
  </si>
  <si>
    <t>Non-Sal Group per EFTSL</t>
  </si>
  <si>
    <t>Central cost per EFTSL</t>
  </si>
  <si>
    <t>Casual School per EFTSL</t>
  </si>
  <si>
    <t>Casual Group per EFTSL</t>
  </si>
  <si>
    <t>General School per EFTSL</t>
  </si>
  <si>
    <t>General  Group per EFTSL</t>
  </si>
  <si>
    <t>ARG</t>
  </si>
  <si>
    <t>CCJ</t>
  </si>
  <si>
    <t>Y</t>
  </si>
  <si>
    <t>EDN</t>
  </si>
  <si>
    <t>GFS</t>
  </si>
  <si>
    <t>LAW</t>
  </si>
  <si>
    <t>LHS</t>
  </si>
  <si>
    <t>QCA</t>
  </si>
  <si>
    <t>QCM</t>
  </si>
  <si>
    <t>BUS</t>
  </si>
  <si>
    <t>IBA</t>
  </si>
  <si>
    <t>GIR</t>
  </si>
  <si>
    <t>THS</t>
  </si>
  <si>
    <t>AFE</t>
  </si>
  <si>
    <t>EHR</t>
  </si>
  <si>
    <t>MKT</t>
  </si>
  <si>
    <t>HTH</t>
  </si>
  <si>
    <t>AHS</t>
  </si>
  <si>
    <t>DOH</t>
  </si>
  <si>
    <t>HLS</t>
  </si>
  <si>
    <t>HSV</t>
  </si>
  <si>
    <t>MED</t>
  </si>
  <si>
    <t>MSC</t>
  </si>
  <si>
    <t>NRS</t>
  </si>
  <si>
    <t>PHM</t>
  </si>
  <si>
    <t>PSY</t>
  </si>
  <si>
    <t>SCG</t>
  </si>
  <si>
    <t>ENG</t>
  </si>
  <si>
    <t>ENV</t>
  </si>
  <si>
    <t>ICT</t>
  </si>
  <si>
    <t>NSC</t>
  </si>
  <si>
    <t>Groups</t>
  </si>
  <si>
    <t>Departments</t>
  </si>
  <si>
    <t>Discipline List</t>
  </si>
  <si>
    <t>Years</t>
  </si>
  <si>
    <t>Trimester</t>
  </si>
  <si>
    <t>AEL</t>
  </si>
  <si>
    <t xml:space="preserve"> </t>
  </si>
  <si>
    <t>3 Year Average</t>
  </si>
  <si>
    <t>Annual Decline</t>
  </si>
  <si>
    <t>4 Year Average</t>
  </si>
  <si>
    <t>Guidence</t>
  </si>
  <si>
    <t>Business</t>
  </si>
  <si>
    <t>T1</t>
  </si>
  <si>
    <t>Law, accounting, administration, economics, commerce</t>
  </si>
  <si>
    <t>Level E</t>
  </si>
  <si>
    <t>Level E1</t>
  </si>
  <si>
    <t>HEW 3</t>
  </si>
  <si>
    <t>HEW 35</t>
  </si>
  <si>
    <t>77% to 86%</t>
  </si>
  <si>
    <t>Health</t>
  </si>
  <si>
    <t>CCJ - Sch of Crim &amp; Criminal Justice</t>
  </si>
  <si>
    <t>T2</t>
  </si>
  <si>
    <t>Humanities</t>
  </si>
  <si>
    <t>Level D</t>
  </si>
  <si>
    <t>Level D4</t>
  </si>
  <si>
    <t>HEW 4</t>
  </si>
  <si>
    <t>HEW 43</t>
  </si>
  <si>
    <t>81% to 90%</t>
  </si>
  <si>
    <t>Science</t>
  </si>
  <si>
    <t>EDN - Sch of Edu and Prof Studies</t>
  </si>
  <si>
    <t>T3</t>
  </si>
  <si>
    <t>Mathematics, statistics, computing, built environment or other health</t>
  </si>
  <si>
    <t>Level C</t>
  </si>
  <si>
    <t>Level C6</t>
  </si>
  <si>
    <t>HEW 5</t>
  </si>
  <si>
    <t>HEW 55</t>
  </si>
  <si>
    <t>83% to 91%</t>
  </si>
  <si>
    <t>LAW - Griffith Law School</t>
  </si>
  <si>
    <t>Behavioural science or social studies</t>
  </si>
  <si>
    <t>Level B</t>
  </si>
  <si>
    <t>Level B6</t>
  </si>
  <si>
    <t>HEW 6</t>
  </si>
  <si>
    <t>HEW 63</t>
  </si>
  <si>
    <t>80% to 90%</t>
  </si>
  <si>
    <t>First Year</t>
  </si>
  <si>
    <t>LHS - School of Hum Lang and Soc Sci</t>
  </si>
  <si>
    <t>Education</t>
  </si>
  <si>
    <t>Level A</t>
  </si>
  <si>
    <t>Level A8</t>
  </si>
  <si>
    <t>HEW 7</t>
  </si>
  <si>
    <t>HEW 73</t>
  </si>
  <si>
    <t>70% to 82%</t>
  </si>
  <si>
    <t>Second Year</t>
  </si>
  <si>
    <t>GFS - Griffith Film School</t>
  </si>
  <si>
    <t>Clinical psychology, foreign languages, or visual and performing arts</t>
  </si>
  <si>
    <t>HEW 8</t>
  </si>
  <si>
    <t>HEW 84</t>
  </si>
  <si>
    <t>80% to 89%</t>
  </si>
  <si>
    <t>Third Year</t>
  </si>
  <si>
    <t>QCA - Queensland College Of Art</t>
  </si>
  <si>
    <t>Allied health</t>
  </si>
  <si>
    <t>88% to 95%</t>
  </si>
  <si>
    <t>Fourth Year</t>
  </si>
  <si>
    <t>QCM - Queensland Conservatorium</t>
  </si>
  <si>
    <t>Science, Engineering or surveying</t>
  </si>
  <si>
    <t>78% to 90%</t>
  </si>
  <si>
    <t>Fifth Year</t>
  </si>
  <si>
    <t>EHR - Dept Empl Rel &amp; Human Resource</t>
  </si>
  <si>
    <t>Dentistry, medicine or veterinary science</t>
  </si>
  <si>
    <t>AFE - Dept Accounting Fin and Econs</t>
  </si>
  <si>
    <t>Agriculture</t>
  </si>
  <si>
    <t>MKT - Department of Marketing</t>
  </si>
  <si>
    <t>THS - Dept Tour, Sport and Hotel Mgt</t>
  </si>
  <si>
    <t>GIR - Sch of Govt and Int Relations</t>
  </si>
  <si>
    <t>IBA - Dept Int Bus and Asian Studies</t>
  </si>
  <si>
    <t>AHS - School Allied Health Sciences</t>
  </si>
  <si>
    <t>January</t>
  </si>
  <si>
    <t>92% to 99%</t>
  </si>
  <si>
    <t>DOH - Sch of Dentistry and Oral Hlth</t>
  </si>
  <si>
    <t>February</t>
  </si>
  <si>
    <t>HSV - Sch Human Services and Soc Wk</t>
  </si>
  <si>
    <t>March</t>
  </si>
  <si>
    <t>MED - School of Medicine</t>
  </si>
  <si>
    <t>April</t>
  </si>
  <si>
    <t>75% to 90%</t>
  </si>
  <si>
    <t>MSC - School of Medical Science</t>
  </si>
  <si>
    <t>May</t>
  </si>
  <si>
    <t>82% to 90%</t>
  </si>
  <si>
    <t>NRS - School Nursing and Midwifery</t>
  </si>
  <si>
    <t>June</t>
  </si>
  <si>
    <t>PHM - School ofPharmacy&amp;Pharmacology</t>
  </si>
  <si>
    <t>July</t>
  </si>
  <si>
    <t>75% to 85%</t>
  </si>
  <si>
    <t>PSY - School of Applied Psychology</t>
  </si>
  <si>
    <t>August</t>
  </si>
  <si>
    <t>82% to 92%</t>
  </si>
  <si>
    <t>ENG - Griffith School of Engineering</t>
  </si>
  <si>
    <t>September</t>
  </si>
  <si>
    <t>ESC</t>
  </si>
  <si>
    <t>ESC - Sch of Environment and Science</t>
  </si>
  <si>
    <t>October</t>
  </si>
  <si>
    <t>ICT - Sch Info &amp; Communication Tech</t>
  </si>
  <si>
    <t>November</t>
  </si>
  <si>
    <t>December</t>
  </si>
  <si>
    <t>Salary with Oncosts</t>
  </si>
  <si>
    <t>Consumables</t>
  </si>
  <si>
    <t>Clinical Placements</t>
  </si>
  <si>
    <t>Equipment</t>
  </si>
  <si>
    <t>Joint Appointments</t>
  </si>
  <si>
    <t>Other</t>
  </si>
  <si>
    <t>Sessional</t>
  </si>
  <si>
    <t>Intakes</t>
  </si>
  <si>
    <t>Detailed Intakes</t>
  </si>
  <si>
    <t>Discipline</t>
  </si>
  <si>
    <t>University</t>
  </si>
  <si>
    <t>CUBE:</t>
  </si>
  <si>
    <t>Griffith:SPM_EFTSL_Reporting</t>
  </si>
  <si>
    <t>Griffith:Scenario</t>
  </si>
  <si>
    <t>Actual</t>
  </si>
  <si>
    <t>Griffith:SPM_Enrolment_Status</t>
  </si>
  <si>
    <t>All Enrolment Statuses</t>
  </si>
  <si>
    <t>Griffith:SPM_Academic_Career</t>
  </si>
  <si>
    <t>All Careers</t>
  </si>
  <si>
    <t>Griffith:SPM_Funding_Type</t>
  </si>
  <si>
    <t>Budget Funding Types</t>
  </si>
  <si>
    <t>Griffith:SPM_Program_Campus</t>
  </si>
  <si>
    <t>All Campuses</t>
  </si>
  <si>
    <t>Griffith:SPM_Teaching_Campus</t>
  </si>
  <si>
    <t>Griffith:SPM_HECS_Band</t>
  </si>
  <si>
    <t>All HECS Bands</t>
  </si>
  <si>
    <t>Griffith:SPM_Field_Of_Education</t>
  </si>
  <si>
    <t>All CGS Clusters</t>
  </si>
  <si>
    <t>Griffith:SPM_Admittance_Term</t>
  </si>
  <si>
    <t>3141 - Semester 1 2014</t>
  </si>
  <si>
    <t>Griffith:SPM_Student_Type</t>
  </si>
  <si>
    <t>All Student Types</t>
  </si>
  <si>
    <t>Griffith:SPM_Course</t>
  </si>
  <si>
    <t>All Courses</t>
  </si>
  <si>
    <t>Griffith:SPM_OP_Scores</t>
  </si>
  <si>
    <t>All OP Scores</t>
  </si>
  <si>
    <t>Griffith:SPM_Prior_Credit</t>
  </si>
  <si>
    <t>All Prior Credits</t>
  </si>
  <si>
    <t>Griffith:SPM_EFTSL_Reporting_Values</t>
  </si>
  <si>
    <t>Program Enrolments</t>
  </si>
  <si>
    <t>Griffith:SPM_Teaching_Organisation</t>
  </si>
  <si>
    <t>All University Departments</t>
  </si>
  <si>
    <t>2014(Cal)</t>
  </si>
  <si>
    <t>2015(Cal)</t>
  </si>
  <si>
    <t>2016(Cal)</t>
  </si>
  <si>
    <t>2017(Cal)</t>
  </si>
  <si>
    <t>2018(Cal)</t>
  </si>
  <si>
    <t>1034 - Bachelor of Business</t>
  </si>
  <si>
    <t>Student EFTSL</t>
  </si>
  <si>
    <t>Study Intensity</t>
  </si>
  <si>
    <t>UGRD</t>
  </si>
  <si>
    <t>Calendar Years</t>
  </si>
  <si>
    <t>Griffith:SPM_Program</t>
  </si>
  <si>
    <t>Min</t>
  </si>
  <si>
    <t>Max</t>
  </si>
  <si>
    <t>Guidance</t>
  </si>
  <si>
    <t>Undergraduate</t>
  </si>
  <si>
    <t>Postgraduate</t>
  </si>
  <si>
    <t>GBS</t>
  </si>
  <si>
    <t>ReportingAndPlanning:RAP Reporting</t>
  </si>
  <si>
    <t>OUA Commissions</t>
  </si>
  <si>
    <t>ReportingAndPlanning:Month</t>
  </si>
  <si>
    <t>All Months</t>
  </si>
  <si>
    <t>CGS</t>
  </si>
  <si>
    <t>Funding Cluster</t>
  </si>
  <si>
    <t>2017</t>
  </si>
  <si>
    <t>2018</t>
  </si>
  <si>
    <t>2019</t>
  </si>
  <si>
    <t>2020</t>
  </si>
  <si>
    <t>ReportingAndPlanning:Department Code</t>
  </si>
  <si>
    <t>All Department Codes</t>
  </si>
  <si>
    <t>CGS12</t>
  </si>
  <si>
    <t>ReportingAndPlanning:Class</t>
  </si>
  <si>
    <t>All Classes</t>
  </si>
  <si>
    <t>CGS13</t>
  </si>
  <si>
    <t>ReportingAndPlanning:Activity Classification</t>
  </si>
  <si>
    <t>LOAD - Load</t>
  </si>
  <si>
    <t>CGS15</t>
  </si>
  <si>
    <t>ReportingAndPlanning:Project Classification</t>
  </si>
  <si>
    <t>All Project Classifications</t>
  </si>
  <si>
    <t>CGS23</t>
  </si>
  <si>
    <t>ReportingAndPlanning:Ledger</t>
  </si>
  <si>
    <t>All Ledgers</t>
  </si>
  <si>
    <t>CGS31</t>
  </si>
  <si>
    <t>ReportingAndPlanning:Journal Type</t>
  </si>
  <si>
    <t>All Journal Types</t>
  </si>
  <si>
    <t>CGS33</t>
  </si>
  <si>
    <t>ReportingAndPlanning:Project Owner</t>
  </si>
  <si>
    <t>All Project Owners</t>
  </si>
  <si>
    <t>CGS35</t>
  </si>
  <si>
    <t>ReportingAndPlanning:Class Owner</t>
  </si>
  <si>
    <t>All Class Owners</t>
  </si>
  <si>
    <t>ReportingAndPlanning:Fund</t>
  </si>
  <si>
    <t>F_UNI - All Funds</t>
  </si>
  <si>
    <t>ReportingAndPlanning:Value Type</t>
  </si>
  <si>
    <t>Total Value</t>
  </si>
  <si>
    <t>Row Labels</t>
  </si>
  <si>
    <t>Budget EFTSL</t>
  </si>
  <si>
    <t>2018 Budget</t>
  </si>
  <si>
    <t>Forecast EFTSL</t>
  </si>
  <si>
    <t>2018 Forecast</t>
  </si>
  <si>
    <t>Forecast to Budget Var</t>
  </si>
  <si>
    <t>ReportingAndPlanning:RAP Reporting Measure</t>
  </si>
  <si>
    <t>Amount</t>
  </si>
  <si>
    <t>ReportingAndPlanning:Account</t>
  </si>
  <si>
    <t>NB_COMMIS - Commission</t>
  </si>
  <si>
    <t>CCJ - School of Criminology and Criminal Justice</t>
  </si>
  <si>
    <t>EDN - School of Education and Professional Studies</t>
  </si>
  <si>
    <t>LHS - School of Humanities, Languages and Social Science</t>
  </si>
  <si>
    <t>QCA - Queensland College of Art</t>
  </si>
  <si>
    <t>2015</t>
  </si>
  <si>
    <t>2016</t>
  </si>
  <si>
    <t>Forecast</t>
  </si>
  <si>
    <t>TOTAL</t>
  </si>
  <si>
    <t>101001 - General Activities</t>
  </si>
  <si>
    <t>AFE - Department of Accounting, Finance and Economics</t>
  </si>
  <si>
    <t>HUM - School Of Humanities</t>
  </si>
  <si>
    <t>EHR - Dept of Employment Relations and Human Resources</t>
  </si>
  <si>
    <t>GIR - School of Government and International Relations</t>
  </si>
  <si>
    <t>IBA - Dept of International Business and Asian Studies</t>
  </si>
  <si>
    <t>COA - College of Art</t>
  </si>
  <si>
    <t>THS - Department of Tourism, Sport and Hotel Management</t>
  </si>
  <si>
    <t>LAL - Sch of Languages and Linguist</t>
  </si>
  <si>
    <t>AHS - School of Allied Health Sciences</t>
  </si>
  <si>
    <t>BUS - Business School</t>
  </si>
  <si>
    <t>DOH - School of Dentistry and Oral Health</t>
  </si>
  <si>
    <t>HSV - School of Human Services and Social Work</t>
  </si>
  <si>
    <t>HSL - Dept Tourism Sport &amp; Hotel Mgt</t>
  </si>
  <si>
    <t>NRS - School of Nursing and Midwifery</t>
  </si>
  <si>
    <t>PHM - School of Pharmacy</t>
  </si>
  <si>
    <t>OTH</t>
  </si>
  <si>
    <t>CBN - PG UG</t>
  </si>
  <si>
    <t>GLY - Institute for Glycomics</t>
  </si>
  <si>
    <t>SOC - Sch Human Svce and Soc Wk SOC</t>
  </si>
  <si>
    <t>LFC - Centre for Learning Futures</t>
  </si>
  <si>
    <t>NUR - Sch Nursing and Midwifery NUR</t>
  </si>
  <si>
    <t>ENV - Griffith School of Environment</t>
  </si>
  <si>
    <t>MID - Sch Nursing and Midwifery MID</t>
  </si>
  <si>
    <t>ESC - School - School of Environment and Science</t>
  </si>
  <si>
    <t>ICT - School of Information and Communication Technology</t>
  </si>
  <si>
    <t>CPY - Psychology Corporate</t>
  </si>
  <si>
    <t>NSC - School of Natural Sciences</t>
  </si>
  <si>
    <t>HLS - Health</t>
  </si>
  <si>
    <t>(blank)</t>
  </si>
  <si>
    <t>Grand Total</t>
  </si>
  <si>
    <t>PVS - PVC Sciences</t>
  </si>
  <si>
    <t>XTS - CLF SRC Support</t>
  </si>
  <si>
    <t>101160 - Open Universities Australia</t>
  </si>
  <si>
    <t>102487 - Pearson Alliance</t>
  </si>
  <si>
    <t>ReportingAndPlanning:Year</t>
  </si>
  <si>
    <t>ReportingAndPlanning:Project</t>
  </si>
  <si>
    <t>All Projects</t>
  </si>
  <si>
    <t>Budget Re-Cut 26.02.18</t>
  </si>
  <si>
    <t>NB_NETINC - Net Income</t>
  </si>
  <si>
    <t>NB_NETOPR - Net Operating Result</t>
  </si>
  <si>
    <t>G_ESC - Sch of Environment and Science</t>
  </si>
  <si>
    <t>Budget Re-Cut 26.02.188</t>
  </si>
  <si>
    <t>G_ARG - Arts Education and Law Group</t>
  </si>
  <si>
    <t>G_BUS - Business School</t>
  </si>
  <si>
    <t>G_HTH - Griffith Health</t>
  </si>
  <si>
    <t>G_SCG - Griffith Sciences</t>
  </si>
  <si>
    <t>G_UNI - All University Departments</t>
  </si>
  <si>
    <t>Commercial in confidence</t>
  </si>
  <si>
    <t>Sensitivity Analysis</t>
  </si>
  <si>
    <t>Scenario</t>
  </si>
  <si>
    <t>Metric</t>
  </si>
  <si>
    <t>COURSE TITLE</t>
  </si>
  <si>
    <t>General Information</t>
  </si>
  <si>
    <t>Department Contribution Margin</t>
  </si>
  <si>
    <t>Program Course Instances</t>
  </si>
  <si>
    <t>Hurdle rate (annual enrolments) to cover costs (before contribution margin)</t>
  </si>
  <si>
    <t>Hurdle rate (enrolments) at course level</t>
  </si>
  <si>
    <t>Hurdle rate (annual enrolments) to meet contribution margin</t>
  </si>
  <si>
    <t>Based on # enrolments</t>
  </si>
  <si>
    <t>Student enrolments (annual)</t>
  </si>
  <si>
    <t>Per course</t>
  </si>
  <si>
    <t>Income Generated</t>
  </si>
  <si>
    <t>Expenditure</t>
  </si>
  <si>
    <t>Contribution dollars</t>
  </si>
  <si>
    <t>Contribution percentage</t>
  </si>
  <si>
    <t>Variance to department Contribution Margin percentage</t>
  </si>
  <si>
    <t>Implied favourable/unfavourable variance on department contribution margin</t>
  </si>
  <si>
    <t>Based on 20% reduction in student enrolments</t>
  </si>
  <si>
    <t>Based on 10% reduction in student enrolments</t>
  </si>
  <si>
    <t>Based on 5% reduction in student enrolments</t>
  </si>
  <si>
    <t>Based on 5% increase in student enrolments</t>
  </si>
  <si>
    <t>Based on 10% increase in student enrolments</t>
  </si>
  <si>
    <t>Based on 20% increase in student enrolments</t>
  </si>
  <si>
    <t>PL Hub - hosting fees +DB ($55 per person)</t>
  </si>
  <si>
    <t>Oncost at 28.65%</t>
  </si>
  <si>
    <t>3% increase</t>
  </si>
  <si>
    <t>2% increase</t>
  </si>
  <si>
    <t>2.5% increase</t>
  </si>
  <si>
    <t>Forecast 2% inc</t>
  </si>
  <si>
    <t>Formulated and Locked</t>
  </si>
  <si>
    <t>2026*</t>
  </si>
  <si>
    <t>2027*</t>
  </si>
  <si>
    <t>2028*</t>
  </si>
  <si>
    <t>2029*</t>
  </si>
  <si>
    <t>*indicates assumed salary increases @ 2%, the Salary rates spreadsheet will need to be updated once the approp EA is in place</t>
  </si>
  <si>
    <t>DIRECT EXPENSE TOTAL</t>
  </si>
  <si>
    <t>NET INCOME</t>
  </si>
  <si>
    <t>HG OVERHEADS</t>
  </si>
  <si>
    <t>ASSESSMENT FEE</t>
  </si>
  <si>
    <t>Extra fees for assessment is a formulated calculation at 30mins per student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</si>
</sst>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&quot;$&quot;#,##0_);[Red]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_-;\-* #,##0_-;_-* &quot;-&quot;??_-;_-@_-"/>
    <numFmt numFmtId="168" formatCode="_-* #,##0.0_-;\-* #,##0.0_-;_-* &quot;-&quot;??_-;_-@_-"/>
    <numFmt numFmtId="169" formatCode="_(* #,##0,_);_(* \(#,##0,\);"/>
    <numFmt numFmtId="170" formatCode="_-&quot;$&quot;* #,##0_-;\-&quot;$&quot;* #,##0_-;_-&quot;$&quot;* &quot;-&quot;??_-;_-@_-"/>
    <numFmt numFmtId="171" formatCode="_(* #,##0_);_(* \(#,##0\);_(* &quot;-&quot;??_);_(@_)"/>
    <numFmt numFmtId="172" formatCode="0.0%"/>
    <numFmt numFmtId="173" formatCode="0.0%;[Red]\-0.0%"/>
    <numFmt numFmtId="174" formatCode="_(&quot;$&quot;* #,##0_);_(&quot;$&quot;* \(#,##0\);_(&quot;$&quot;* &quot;-&quot;??_);_(@_)"/>
    <numFmt numFmtId="175" formatCode="&quot;$&quot;#,##0"/>
    <numFmt numFmtId="176" formatCode="#,##0.00;\(#,##0.00\);&quot;&quot;"/>
    <numFmt numFmtId="177" formatCode="d\-mmm\-yyyy"/>
    <numFmt numFmtId="178" formatCode="#,##0.000000"/>
    <numFmt numFmtId="179" formatCode="0.000000"/>
    <numFmt numFmtId="180" formatCode="#,##0.0000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name val="Foundry Sterling Book"/>
      <family val="3"/>
    </font>
    <font>
      <b/>
      <sz val="10"/>
      <name val="MS Sans Serif"/>
      <family val="2"/>
    </font>
    <font>
      <b/>
      <sz val="16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Foundry Sterling Book"/>
      <family val="3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4"/>
      <name val="Calibri"/>
      <family val="2"/>
      <scheme val="minor"/>
    </font>
    <font>
      <b/>
      <u/>
      <sz val="10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indexed="65"/>
        <bgColor indexed="1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theme="4" tint="-0.249977111117893"/>
      </top>
      <bottom/>
      <diagonal/>
    </border>
    <border>
      <left/>
      <right/>
      <top style="thin">
        <color theme="4" tint="-0.249977111117893"/>
      </top>
      <bottom style="medium">
        <color theme="4" tint="-0.249977111117893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240">
    <xf numFmtId="0" fontId="0" fillId="0" borderId="0" xfId="0"/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3" fillId="4" borderId="5" xfId="0" applyFont="1" applyFill="1" applyBorder="1"/>
    <xf numFmtId="0" fontId="2" fillId="5" borderId="5" xfId="0" applyFont="1" applyFill="1" applyBorder="1"/>
    <xf numFmtId="0" fontId="4" fillId="0" borderId="0" xfId="0" applyFont="1"/>
    <xf numFmtId="0" fontId="3" fillId="0" borderId="0" xfId="0" applyFont="1"/>
    <xf numFmtId="0" fontId="6" fillId="0" borderId="0" xfId="0" applyFont="1"/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0" fillId="0" borderId="0" xfId="0" applyAlignment="1">
      <alignment horizontal="left" indent="2"/>
    </xf>
    <xf numFmtId="0" fontId="0" fillId="0" borderId="8" xfId="0" applyBorder="1"/>
    <xf numFmtId="0" fontId="0" fillId="0" borderId="7" xfId="0" applyBorder="1"/>
    <xf numFmtId="0" fontId="0" fillId="0" borderId="1" xfId="0" applyBorder="1"/>
    <xf numFmtId="0" fontId="0" fillId="0" borderId="9" xfId="0" applyBorder="1"/>
    <xf numFmtId="0" fontId="0" fillId="0" borderId="10" xfId="0" applyBorder="1"/>
    <xf numFmtId="0" fontId="2" fillId="3" borderId="11" xfId="0" applyFont="1" applyFill="1" applyBorder="1" applyAlignment="1">
      <alignment horizontal="center"/>
    </xf>
    <xf numFmtId="172" fontId="0" fillId="0" borderId="4" xfId="0" applyNumberFormat="1" applyBorder="1"/>
    <xf numFmtId="167" fontId="0" fillId="0" borderId="4" xfId="1" applyNumberFormat="1" applyFont="1" applyBorder="1" applyAlignment="1"/>
    <xf numFmtId="167" fontId="3" fillId="0" borderId="4" xfId="1" applyNumberFormat="1" applyFont="1" applyBorder="1" applyAlignment="1"/>
    <xf numFmtId="0" fontId="0" fillId="0" borderId="12" xfId="0" applyBorder="1"/>
    <xf numFmtId="0" fontId="0" fillId="0" borderId="4" xfId="0" applyBorder="1"/>
    <xf numFmtId="1" fontId="0" fillId="0" borderId="4" xfId="0" applyNumberFormat="1" applyBorder="1"/>
    <xf numFmtId="164" fontId="0" fillId="0" borderId="4" xfId="2" applyNumberFormat="1" applyFont="1" applyBorder="1"/>
    <xf numFmtId="172" fontId="0" fillId="0" borderId="4" xfId="3" applyNumberFormat="1" applyFont="1" applyBorder="1"/>
    <xf numFmtId="173" fontId="3" fillId="0" borderId="4" xfId="0" applyNumberFormat="1" applyFont="1" applyBorder="1"/>
    <xf numFmtId="164" fontId="3" fillId="0" borderId="13" xfId="0" applyNumberFormat="1" applyFont="1" applyBorder="1"/>
    <xf numFmtId="164" fontId="0" fillId="0" borderId="4" xfId="0" applyNumberFormat="1" applyBorder="1"/>
    <xf numFmtId="172" fontId="3" fillId="0" borderId="4" xfId="3" applyNumberFormat="1" applyFont="1" applyBorder="1"/>
    <xf numFmtId="0" fontId="0" fillId="0" borderId="6" xfId="0" applyBorder="1"/>
    <xf numFmtId="1" fontId="0" fillId="0" borderId="6" xfId="0" applyNumberFormat="1" applyBorder="1"/>
    <xf numFmtId="164" fontId="0" fillId="0" borderId="6" xfId="0" applyNumberFormat="1" applyBorder="1"/>
    <xf numFmtId="0" fontId="0" fillId="0" borderId="0" xfId="0" applyAlignment="1">
      <alignment horizontal="right"/>
    </xf>
    <xf numFmtId="172" fontId="0" fillId="0" borderId="0" xfId="3" applyNumberFormat="1" applyFont="1" applyAlignment="1">
      <alignment horizontal="right"/>
    </xf>
    <xf numFmtId="0" fontId="0" fillId="2" borderId="0" xfId="0" applyFill="1"/>
    <xf numFmtId="0" fontId="0" fillId="6" borderId="0" xfId="0" applyFill="1"/>
    <xf numFmtId="0" fontId="3" fillId="0" borderId="14" xfId="0" applyFont="1" applyBorder="1"/>
    <xf numFmtId="0" fontId="2" fillId="7" borderId="14" xfId="0" applyFont="1" applyFill="1" applyBorder="1"/>
    <xf numFmtId="174" fontId="2" fillId="7" borderId="14" xfId="2" applyNumberFormat="1" applyFont="1" applyFill="1" applyBorder="1"/>
    <xf numFmtId="0" fontId="3" fillId="4" borderId="14" xfId="0" applyFont="1" applyFill="1" applyBorder="1" applyAlignment="1">
      <alignment horizontal="left" wrapText="1"/>
    </xf>
    <xf numFmtId="0" fontId="3" fillId="4" borderId="14" xfId="0" applyFont="1" applyFill="1" applyBorder="1"/>
    <xf numFmtId="174" fontId="3" fillId="0" borderId="14" xfId="2" applyNumberFormat="1" applyFont="1" applyBorder="1"/>
    <xf numFmtId="174" fontId="3" fillId="4" borderId="14" xfId="2" applyNumberFormat="1" applyFont="1" applyFill="1" applyBorder="1"/>
    <xf numFmtId="171" fontId="3" fillId="8" borderId="14" xfId="1" applyNumberFormat="1" applyFont="1" applyFill="1" applyBorder="1"/>
    <xf numFmtId="0" fontId="2" fillId="2" borderId="0" xfId="0" applyFont="1" applyFill="1"/>
    <xf numFmtId="0" fontId="7" fillId="6" borderId="0" xfId="0" applyFont="1" applyFill="1"/>
    <xf numFmtId="172" fontId="3" fillId="0" borderId="14" xfId="3" applyNumberFormat="1" applyFont="1" applyBorder="1"/>
    <xf numFmtId="170" fontId="3" fillId="0" borderId="14" xfId="2" applyNumberFormat="1" applyFont="1" applyBorder="1"/>
    <xf numFmtId="0" fontId="8" fillId="0" borderId="0" xfId="0" applyFont="1"/>
    <xf numFmtId="166" fontId="0" fillId="0" borderId="0" xfId="1" applyFont="1"/>
    <xf numFmtId="167" fontId="0" fillId="0" borderId="0" xfId="1" applyNumberFormat="1" applyFont="1"/>
    <xf numFmtId="0" fontId="9" fillId="9" borderId="0" xfId="0" applyFont="1" applyFill="1"/>
    <xf numFmtId="171" fontId="0" fillId="0" borderId="0" xfId="1" applyNumberFormat="1" applyFont="1"/>
    <xf numFmtId="168" fontId="0" fillId="0" borderId="0" xfId="1" applyNumberFormat="1" applyFont="1" applyFill="1" applyBorder="1"/>
    <xf numFmtId="166" fontId="0" fillId="0" borderId="0" xfId="0" applyNumberFormat="1"/>
    <xf numFmtId="0" fontId="10" fillId="0" borderId="14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1" fillId="0" borderId="22" xfId="0" applyFont="1" applyBorder="1" applyAlignment="1">
      <alignment horizontal="center"/>
    </xf>
    <xf numFmtId="167" fontId="0" fillId="0" borderId="0" xfId="4" applyNumberFormat="1" applyFont="1"/>
    <xf numFmtId="172" fontId="0" fillId="0" borderId="0" xfId="3" applyNumberFormat="1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6" fontId="0" fillId="0" borderId="0" xfId="4" applyFont="1"/>
    <xf numFmtId="0" fontId="3" fillId="0" borderId="15" xfId="0" applyFont="1" applyBorder="1" applyAlignment="1">
      <alignment horizontal="right"/>
    </xf>
    <xf numFmtId="0" fontId="3" fillId="0" borderId="18" xfId="0" applyFont="1" applyBorder="1" applyAlignment="1">
      <alignment horizontal="right"/>
    </xf>
    <xf numFmtId="0" fontId="3" fillId="0" borderId="20" xfId="0" applyFont="1" applyBorder="1" applyAlignment="1">
      <alignment horizontal="right"/>
    </xf>
    <xf numFmtId="0" fontId="0" fillId="0" borderId="0" xfId="0" applyAlignment="1">
      <alignment horizontal="left"/>
    </xf>
    <xf numFmtId="3" fontId="0" fillId="0" borderId="0" xfId="0" applyNumberFormat="1"/>
    <xf numFmtId="175" fontId="0" fillId="0" borderId="0" xfId="0" applyNumberFormat="1"/>
    <xf numFmtId="0" fontId="0" fillId="0" borderId="0" xfId="0" applyAlignment="1">
      <alignment horizontal="left" indent="1"/>
    </xf>
    <xf numFmtId="0" fontId="0" fillId="0" borderId="0" xfId="0" pivotButton="1"/>
    <xf numFmtId="0" fontId="2" fillId="11" borderId="23" xfId="0" applyFont="1" applyFill="1" applyBorder="1" applyAlignment="1">
      <alignment horizontal="center" vertical="center" wrapText="1"/>
    </xf>
    <xf numFmtId="3" fontId="3" fillId="12" borderId="0" xfId="0" applyNumberFormat="1" applyFont="1" applyFill="1"/>
    <xf numFmtId="175" fontId="3" fillId="12" borderId="0" xfId="0" applyNumberFormat="1" applyFont="1" applyFill="1"/>
    <xf numFmtId="3" fontId="3" fillId="0" borderId="24" xfId="0" applyNumberFormat="1" applyFont="1" applyBorder="1"/>
    <xf numFmtId="175" fontId="3" fillId="0" borderId="24" xfId="0" applyNumberFormat="1" applyFont="1" applyBorder="1"/>
    <xf numFmtId="0" fontId="0" fillId="0" borderId="3" xfId="0" applyBorder="1"/>
    <xf numFmtId="0" fontId="0" fillId="0" borderId="25" xfId="0" applyBorder="1"/>
    <xf numFmtId="166" fontId="0" fillId="0" borderId="14" xfId="1" applyFont="1" applyBorder="1"/>
    <xf numFmtId="166" fontId="3" fillId="0" borderId="15" xfId="1" applyFont="1" applyBorder="1"/>
    <xf numFmtId="166" fontId="0" fillId="0" borderId="17" xfId="1" applyFont="1" applyBorder="1"/>
    <xf numFmtId="166" fontId="3" fillId="0" borderId="18" xfId="1" applyFont="1" applyBorder="1"/>
    <xf numFmtId="166" fontId="0" fillId="0" borderId="19" xfId="1" applyFont="1" applyBorder="1"/>
    <xf numFmtId="1" fontId="3" fillId="0" borderId="14" xfId="1" applyNumberFormat="1" applyFont="1" applyBorder="1"/>
    <xf numFmtId="0" fontId="3" fillId="0" borderId="14" xfId="0" applyFont="1" applyBorder="1" applyAlignment="1">
      <alignment horizontal="left"/>
    </xf>
    <xf numFmtId="0" fontId="0" fillId="0" borderId="14" xfId="0" applyBorder="1"/>
    <xf numFmtId="165" fontId="0" fillId="0" borderId="14" xfId="0" applyNumberFormat="1" applyBorder="1"/>
    <xf numFmtId="0" fontId="3" fillId="0" borderId="11" xfId="0" applyFont="1" applyBorder="1"/>
    <xf numFmtId="0" fontId="0" fillId="9" borderId="4" xfId="0" applyFill="1" applyBorder="1"/>
    <xf numFmtId="0" fontId="0" fillId="0" borderId="2" xfId="0" applyBorder="1"/>
    <xf numFmtId="0" fontId="3" fillId="4" borderId="0" xfId="0" applyFont="1" applyFill="1"/>
    <xf numFmtId="0" fontId="0" fillId="4" borderId="0" xfId="0" applyFill="1"/>
    <xf numFmtId="0" fontId="9" fillId="4" borderId="0" xfId="0" applyFont="1" applyFill="1"/>
    <xf numFmtId="0" fontId="2" fillId="3" borderId="0" xfId="0" applyFont="1" applyFill="1"/>
    <xf numFmtId="0" fontId="2" fillId="3" borderId="26" xfId="0" applyFont="1" applyFill="1" applyBorder="1" applyAlignment="1">
      <alignment wrapText="1"/>
    </xf>
    <xf numFmtId="0" fontId="2" fillId="3" borderId="1" xfId="0" applyFont="1" applyFill="1" applyBorder="1" applyAlignment="1">
      <alignment wrapText="1"/>
    </xf>
    <xf numFmtId="0" fontId="3" fillId="0" borderId="17" xfId="0" applyFont="1" applyBorder="1"/>
    <xf numFmtId="0" fontId="3" fillId="0" borderId="19" xfId="0" applyFont="1" applyBorder="1"/>
    <xf numFmtId="0" fontId="3" fillId="0" borderId="21" xfId="0" applyFont="1" applyBorder="1"/>
    <xf numFmtId="165" fontId="0" fillId="0" borderId="14" xfId="2" applyFont="1" applyBorder="1"/>
    <xf numFmtId="49" fontId="0" fillId="0" borderId="14" xfId="0" applyNumberFormat="1" applyBorder="1"/>
    <xf numFmtId="9" fontId="0" fillId="0" borderId="0" xfId="0" applyNumberFormat="1"/>
    <xf numFmtId="0" fontId="0" fillId="0" borderId="0" xfId="0" quotePrefix="1"/>
    <xf numFmtId="9" fontId="0" fillId="0" borderId="0" xfId="3" applyFont="1"/>
    <xf numFmtId="0" fontId="0" fillId="0" borderId="26" xfId="0" applyBorder="1" applyAlignment="1">
      <alignment horizontal="center" wrapText="1"/>
    </xf>
    <xf numFmtId="0" fontId="0" fillId="0" borderId="26" xfId="0" applyBorder="1"/>
    <xf numFmtId="169" fontId="0" fillId="0" borderId="26" xfId="0" applyNumberFormat="1" applyBorder="1"/>
    <xf numFmtId="9" fontId="2" fillId="5" borderId="29" xfId="3" applyFont="1" applyFill="1" applyBorder="1" applyAlignment="1"/>
    <xf numFmtId="169" fontId="0" fillId="0" borderId="0" xfId="0" applyNumberFormat="1"/>
    <xf numFmtId="0" fontId="2" fillId="5" borderId="29" xfId="0" applyFont="1" applyFill="1" applyBorder="1"/>
    <xf numFmtId="0" fontId="0" fillId="0" borderId="16" xfId="0" applyBorder="1"/>
    <xf numFmtId="0" fontId="0" fillId="0" borderId="31" xfId="0" applyBorder="1"/>
    <xf numFmtId="0" fontId="0" fillId="0" borderId="30" xfId="0" applyBorder="1"/>
    <xf numFmtId="0" fontId="0" fillId="0" borderId="28" xfId="0" applyBorder="1"/>
    <xf numFmtId="0" fontId="2" fillId="3" borderId="1" xfId="0" applyFont="1" applyFill="1" applyBorder="1"/>
    <xf numFmtId="0" fontId="0" fillId="13" borderId="0" xfId="0" applyFill="1"/>
    <xf numFmtId="0" fontId="3" fillId="14" borderId="0" xfId="0" applyFont="1" applyFill="1"/>
    <xf numFmtId="168" fontId="0" fillId="0" borderId="0" xfId="5" applyNumberFormat="1" applyFont="1"/>
    <xf numFmtId="176" fontId="0" fillId="0" borderId="0" xfId="0" applyNumberFormat="1"/>
    <xf numFmtId="166" fontId="0" fillId="0" borderId="0" xfId="1" applyFont="1" applyBorder="1" applyAlignment="1"/>
    <xf numFmtId="166" fontId="0" fillId="0" borderId="26" xfId="1" applyFont="1" applyBorder="1" applyAlignment="1"/>
    <xf numFmtId="3" fontId="3" fillId="4" borderId="5" xfId="1" applyNumberFormat="1" applyFont="1" applyFill="1" applyBorder="1" applyAlignment="1"/>
    <xf numFmtId="3" fontId="2" fillId="5" borderId="5" xfId="2" applyNumberFormat="1" applyFont="1" applyFill="1" applyBorder="1" applyAlignment="1"/>
    <xf numFmtId="3" fontId="3" fillId="4" borderId="5" xfId="2" applyNumberFormat="1" applyFont="1" applyFill="1" applyBorder="1" applyAlignment="1"/>
    <xf numFmtId="0" fontId="9" fillId="9" borderId="1" xfId="0" applyFont="1" applyFill="1" applyBorder="1"/>
    <xf numFmtId="168" fontId="0" fillId="0" borderId="7" xfId="1" applyNumberFormat="1" applyFont="1" applyFill="1" applyBorder="1"/>
    <xf numFmtId="0" fontId="0" fillId="4" borderId="0" xfId="0" applyFill="1" applyAlignment="1">
      <alignment horizontal="center"/>
    </xf>
    <xf numFmtId="0" fontId="0" fillId="0" borderId="11" xfId="0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 wrapText="1"/>
    </xf>
    <xf numFmtId="0" fontId="2" fillId="6" borderId="32" xfId="0" applyFont="1" applyFill="1" applyBorder="1" applyAlignment="1">
      <alignment horizontal="left" vertical="center" wrapText="1"/>
    </xf>
    <xf numFmtId="1" fontId="12" fillId="6" borderId="33" xfId="0" applyNumberFormat="1" applyFont="1" applyFill="1" applyBorder="1" applyAlignment="1">
      <alignment vertical="center" wrapText="1"/>
    </xf>
    <xf numFmtId="1" fontId="12" fillId="6" borderId="33" xfId="1" applyNumberFormat="1" applyFont="1" applyFill="1" applyBorder="1" applyAlignment="1">
      <alignment horizontal="right" vertical="center" wrapText="1"/>
    </xf>
    <xf numFmtId="1" fontId="12" fillId="6" borderId="34" xfId="1" applyNumberFormat="1" applyFont="1" applyFill="1" applyBorder="1" applyAlignment="1">
      <alignment horizontal="right" vertical="center" wrapText="1"/>
    </xf>
    <xf numFmtId="168" fontId="0" fillId="4" borderId="7" xfId="1" applyNumberFormat="1" applyFont="1" applyFill="1" applyBorder="1"/>
    <xf numFmtId="166" fontId="3" fillId="4" borderId="27" xfId="0" applyNumberFormat="1" applyFont="1" applyFill="1" applyBorder="1"/>
    <xf numFmtId="168" fontId="3" fillId="4" borderId="8" xfId="1" applyNumberFormat="1" applyFont="1" applyFill="1" applyBorder="1"/>
    <xf numFmtId="0" fontId="0" fillId="0" borderId="38" xfId="0" applyBorder="1"/>
    <xf numFmtId="0" fontId="0" fillId="0" borderId="40" xfId="0" applyBorder="1"/>
    <xf numFmtId="3" fontId="0" fillId="0" borderId="41" xfId="2" applyNumberFormat="1" applyFont="1" applyFill="1" applyBorder="1" applyAlignment="1"/>
    <xf numFmtId="3" fontId="0" fillId="0" borderId="41" xfId="0" applyNumberFormat="1" applyBorder="1"/>
    <xf numFmtId="0" fontId="0" fillId="0" borderId="42" xfId="0" applyBorder="1"/>
    <xf numFmtId="3" fontId="0" fillId="0" borderId="43" xfId="2" applyNumberFormat="1" applyFont="1" applyFill="1" applyBorder="1" applyAlignment="1"/>
    <xf numFmtId="0" fontId="0" fillId="0" borderId="40" xfId="0" applyBorder="1" applyAlignment="1">
      <alignment wrapText="1"/>
    </xf>
    <xf numFmtId="3" fontId="0" fillId="0" borderId="43" xfId="0" applyNumberFormat="1" applyBorder="1"/>
    <xf numFmtId="0" fontId="14" fillId="0" borderId="0" xfId="0" applyFont="1"/>
    <xf numFmtId="0" fontId="13" fillId="0" borderId="0" xfId="0" applyFont="1"/>
    <xf numFmtId="0" fontId="0" fillId="0" borderId="47" xfId="0" applyBorder="1"/>
    <xf numFmtId="3" fontId="0" fillId="0" borderId="48" xfId="0" applyNumberFormat="1" applyBorder="1"/>
    <xf numFmtId="0" fontId="14" fillId="0" borderId="0" xfId="0" applyFont="1" applyAlignment="1">
      <alignment horizontal="center" wrapText="1"/>
    </xf>
    <xf numFmtId="0" fontId="15" fillId="0" borderId="0" xfId="0" applyFont="1"/>
    <xf numFmtId="3" fontId="3" fillId="15" borderId="5" xfId="1" applyNumberFormat="1" applyFont="1" applyFill="1" applyBorder="1" applyAlignment="1"/>
    <xf numFmtId="179" fontId="16" fillId="0" borderId="14" xfId="0" applyNumberFormat="1" applyFont="1" applyBorder="1" applyAlignment="1">
      <alignment horizontal="center"/>
    </xf>
    <xf numFmtId="179" fontId="16" fillId="0" borderId="22" xfId="0" applyNumberFormat="1" applyFont="1" applyBorder="1" applyAlignment="1">
      <alignment horizontal="center"/>
    </xf>
    <xf numFmtId="178" fontId="16" fillId="0" borderId="14" xfId="0" applyNumberFormat="1" applyFont="1" applyBorder="1" applyAlignment="1">
      <alignment horizontal="right"/>
    </xf>
    <xf numFmtId="179" fontId="16" fillId="0" borderId="14" xfId="0" applyNumberFormat="1" applyFont="1" applyBorder="1" applyAlignment="1">
      <alignment horizontal="right"/>
    </xf>
    <xf numFmtId="180" fontId="16" fillId="0" borderId="14" xfId="0" applyNumberFormat="1" applyFont="1" applyBorder="1" applyAlignment="1">
      <alignment horizontal="right"/>
    </xf>
    <xf numFmtId="0" fontId="15" fillId="0" borderId="0" xfId="0" applyFont="1" applyAlignment="1">
      <alignment horizontal="center"/>
    </xf>
    <xf numFmtId="179" fontId="16" fillId="0" borderId="37" xfId="0" applyNumberFormat="1" applyFont="1" applyBorder="1" applyAlignment="1">
      <alignment horizontal="center"/>
    </xf>
    <xf numFmtId="179" fontId="16" fillId="0" borderId="52" xfId="0" applyNumberFormat="1" applyFont="1" applyBorder="1" applyAlignment="1">
      <alignment horizontal="right"/>
    </xf>
    <xf numFmtId="180" fontId="16" fillId="0" borderId="22" xfId="0" applyNumberFormat="1" applyFont="1" applyBorder="1" applyAlignment="1">
      <alignment horizontal="right"/>
    </xf>
    <xf numFmtId="179" fontId="16" fillId="0" borderId="54" xfId="0" applyNumberFormat="1" applyFont="1" applyBorder="1" applyAlignment="1">
      <alignment horizontal="right"/>
    </xf>
    <xf numFmtId="179" fontId="16" fillId="0" borderId="22" xfId="0" applyNumberFormat="1" applyFont="1" applyBorder="1" applyAlignment="1">
      <alignment horizontal="right"/>
    </xf>
    <xf numFmtId="0" fontId="16" fillId="0" borderId="0" xfId="0" applyFont="1" applyAlignment="1">
      <alignment horizontal="center"/>
    </xf>
    <xf numFmtId="4" fontId="19" fillId="0" borderId="0" xfId="0" applyNumberFormat="1" applyFont="1" applyAlignment="1">
      <alignment horizontal="left"/>
    </xf>
    <xf numFmtId="177" fontId="19" fillId="0" borderId="0" xfId="0" applyNumberFormat="1" applyFont="1"/>
    <xf numFmtId="0" fontId="19" fillId="0" borderId="0" xfId="0" applyFont="1" applyAlignment="1">
      <alignment horizontal="center"/>
    </xf>
    <xf numFmtId="0" fontId="19" fillId="0" borderId="0" xfId="0" applyFont="1"/>
    <xf numFmtId="0" fontId="16" fillId="0" borderId="0" xfId="0" applyFont="1"/>
    <xf numFmtId="4" fontId="19" fillId="0" borderId="0" xfId="0" applyNumberFormat="1" applyFont="1" applyAlignment="1">
      <alignment horizontal="center"/>
    </xf>
    <xf numFmtId="0" fontId="21" fillId="0" borderId="49" xfId="0" applyFont="1" applyBorder="1" applyAlignment="1">
      <alignment horizontal="center"/>
    </xf>
    <xf numFmtId="4" fontId="21" fillId="0" borderId="35" xfId="0" applyNumberFormat="1" applyFont="1" applyBorder="1" applyAlignment="1">
      <alignment horizontal="center" wrapText="1"/>
    </xf>
    <xf numFmtId="0" fontId="21" fillId="0" borderId="35" xfId="0" applyFont="1" applyBorder="1" applyAlignment="1">
      <alignment horizontal="center" wrapText="1"/>
    </xf>
    <xf numFmtId="0" fontId="21" fillId="0" borderId="51" xfId="0" applyFont="1" applyBorder="1" applyAlignment="1">
      <alignment horizontal="center" wrapText="1"/>
    </xf>
    <xf numFmtId="0" fontId="21" fillId="0" borderId="36" xfId="0" applyFont="1" applyBorder="1" applyAlignment="1">
      <alignment horizontal="center" wrapText="1"/>
    </xf>
    <xf numFmtId="0" fontId="16" fillId="0" borderId="50" xfId="0" applyFont="1" applyBorder="1" applyAlignment="1">
      <alignment horizontal="center"/>
    </xf>
    <xf numFmtId="4" fontId="16" fillId="0" borderId="14" xfId="0" applyNumberFormat="1" applyFont="1" applyBorder="1" applyAlignment="1">
      <alignment horizontal="center"/>
    </xf>
    <xf numFmtId="0" fontId="16" fillId="0" borderId="14" xfId="0" applyFont="1" applyBorder="1" applyAlignment="1">
      <alignment horizontal="center"/>
    </xf>
    <xf numFmtId="0" fontId="16" fillId="0" borderId="52" xfId="0" applyFont="1" applyBorder="1" applyAlignment="1">
      <alignment horizontal="center"/>
    </xf>
    <xf numFmtId="0" fontId="16" fillId="0" borderId="37" xfId="0" applyFont="1" applyBorder="1" applyAlignment="1">
      <alignment horizontal="center"/>
    </xf>
    <xf numFmtId="0" fontId="18" fillId="0" borderId="0" xfId="0" applyFont="1" applyAlignment="1">
      <alignment horizontal="left"/>
    </xf>
    <xf numFmtId="0" fontId="20" fillId="0" borderId="0" xfId="0" applyFont="1" applyAlignment="1">
      <alignment horizontal="center"/>
    </xf>
    <xf numFmtId="17" fontId="20" fillId="0" borderId="0" xfId="0" applyNumberFormat="1" applyFont="1" applyAlignment="1">
      <alignment horizontal="center"/>
    </xf>
    <xf numFmtId="179" fontId="16" fillId="0" borderId="55" xfId="0" applyNumberFormat="1" applyFont="1" applyBorder="1" applyAlignment="1">
      <alignment horizontal="center"/>
    </xf>
    <xf numFmtId="166" fontId="0" fillId="4" borderId="26" xfId="1" applyFont="1" applyFill="1" applyBorder="1"/>
    <xf numFmtId="0" fontId="0" fillId="10" borderId="0" xfId="0" applyFill="1" applyProtection="1">
      <protection locked="0"/>
    </xf>
    <xf numFmtId="0" fontId="9" fillId="9" borderId="1" xfId="0" applyFont="1" applyFill="1" applyBorder="1" applyProtection="1">
      <protection locked="0"/>
    </xf>
    <xf numFmtId="0" fontId="9" fillId="9" borderId="0" xfId="0" applyFont="1" applyFill="1" applyProtection="1">
      <protection locked="0"/>
    </xf>
    <xf numFmtId="0" fontId="0" fillId="0" borderId="1" xfId="0" applyBorder="1" applyProtection="1">
      <protection locked="0"/>
    </xf>
    <xf numFmtId="0" fontId="0" fillId="8" borderId="1" xfId="0" applyFill="1" applyBorder="1" applyProtection="1">
      <protection locked="0"/>
    </xf>
    <xf numFmtId="0" fontId="0" fillId="8" borderId="0" xfId="0" applyFill="1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168" fontId="9" fillId="9" borderId="1" xfId="1" applyNumberFormat="1" applyFont="1" applyFill="1" applyBorder="1" applyProtection="1">
      <protection locked="0"/>
    </xf>
    <xf numFmtId="168" fontId="0" fillId="9" borderId="1" xfId="1" applyNumberFormat="1" applyFont="1" applyFill="1" applyBorder="1" applyProtection="1">
      <protection locked="0"/>
    </xf>
    <xf numFmtId="167" fontId="9" fillId="9" borderId="1" xfId="1" applyNumberFormat="1" applyFont="1" applyFill="1" applyBorder="1" applyProtection="1">
      <protection locked="0"/>
    </xf>
    <xf numFmtId="0" fontId="0" fillId="10" borderId="4" xfId="0" applyFill="1" applyBorder="1"/>
    <xf numFmtId="0" fontId="0" fillId="4" borderId="12" xfId="0" applyFill="1" applyBorder="1"/>
    <xf numFmtId="0" fontId="0" fillId="16" borderId="0" xfId="0" applyFill="1" applyProtection="1">
      <protection locked="0"/>
    </xf>
    <xf numFmtId="0" fontId="0" fillId="16" borderId="8" xfId="0" applyFill="1" applyBorder="1" applyProtection="1">
      <protection locked="0"/>
    </xf>
    <xf numFmtId="0" fontId="0" fillId="16" borderId="4" xfId="0" applyFill="1" applyBorder="1"/>
    <xf numFmtId="0" fontId="17" fillId="17" borderId="50" xfId="0" applyFont="1" applyFill="1" applyBorder="1" applyAlignment="1">
      <alignment horizontal="center"/>
    </xf>
    <xf numFmtId="0" fontId="17" fillId="16" borderId="50" xfId="0" applyFont="1" applyFill="1" applyBorder="1" applyAlignment="1">
      <alignment horizontal="center"/>
    </xf>
    <xf numFmtId="0" fontId="17" fillId="16" borderId="53" xfId="0" applyFont="1" applyFill="1" applyBorder="1" applyAlignment="1">
      <alignment horizontal="center"/>
    </xf>
    <xf numFmtId="179" fontId="16" fillId="16" borderId="14" xfId="0" applyNumberFormat="1" applyFont="1" applyFill="1" applyBorder="1" applyAlignment="1">
      <alignment horizontal="center"/>
    </xf>
    <xf numFmtId="179" fontId="16" fillId="16" borderId="22" xfId="0" applyNumberFormat="1" applyFont="1" applyFill="1" applyBorder="1" applyAlignment="1">
      <alignment horizontal="center"/>
    </xf>
    <xf numFmtId="179" fontId="16" fillId="16" borderId="37" xfId="0" applyNumberFormat="1" applyFont="1" applyFill="1" applyBorder="1" applyAlignment="1">
      <alignment horizontal="center"/>
    </xf>
    <xf numFmtId="179" fontId="16" fillId="16" borderId="55" xfId="0" applyNumberFormat="1" applyFont="1" applyFill="1" applyBorder="1" applyAlignment="1">
      <alignment horizontal="center"/>
    </xf>
    <xf numFmtId="179" fontId="16" fillId="17" borderId="37" xfId="0" applyNumberFormat="1" applyFont="1" applyFill="1" applyBorder="1" applyAlignment="1">
      <alignment horizontal="center"/>
    </xf>
    <xf numFmtId="179" fontId="16" fillId="17" borderId="14" xfId="0" applyNumberFormat="1" applyFont="1" applyFill="1" applyBorder="1" applyAlignment="1">
      <alignment horizontal="center"/>
    </xf>
    <xf numFmtId="166" fontId="2" fillId="3" borderId="26" xfId="0" applyNumberFormat="1" applyFont="1" applyFill="1" applyBorder="1" applyAlignment="1">
      <alignment wrapText="1"/>
    </xf>
    <xf numFmtId="3" fontId="0" fillId="4" borderId="39" xfId="0" applyNumberFormat="1" applyFill="1" applyBorder="1"/>
    <xf numFmtId="3" fontId="0" fillId="4" borderId="41" xfId="2" applyNumberFormat="1" applyFont="1" applyFill="1" applyBorder="1" applyAlignment="1"/>
    <xf numFmtId="0" fontId="2" fillId="0" borderId="1" xfId="0" applyFont="1" applyBorder="1"/>
    <xf numFmtId="3" fontId="2" fillId="0" borderId="0" xfId="2" applyNumberFormat="1" applyFont="1" applyFill="1" applyBorder="1" applyAlignment="1"/>
    <xf numFmtId="3" fontId="2" fillId="0" borderId="26" xfId="2" applyNumberFormat="1" applyFont="1" applyFill="1" applyBorder="1" applyAlignment="1"/>
    <xf numFmtId="3" fontId="3" fillId="9" borderId="5" xfId="1" applyNumberFormat="1" applyFont="1" applyFill="1" applyBorder="1" applyAlignment="1" applyProtection="1">
      <protection locked="0"/>
    </xf>
    <xf numFmtId="9" fontId="3" fillId="9" borderId="5" xfId="3" applyFont="1" applyFill="1" applyBorder="1" applyAlignment="1" applyProtection="1">
      <protection locked="0"/>
    </xf>
    <xf numFmtId="3" fontId="0" fillId="9" borderId="41" xfId="0" applyNumberFormat="1" applyFill="1" applyBorder="1" applyProtection="1">
      <protection locked="0"/>
    </xf>
    <xf numFmtId="3" fontId="0" fillId="9" borderId="41" xfId="2" applyNumberFormat="1" applyFont="1" applyFill="1" applyBorder="1" applyAlignment="1" applyProtection="1">
      <protection locked="0"/>
    </xf>
    <xf numFmtId="3" fontId="3" fillId="4" borderId="5" xfId="1" applyNumberFormat="1" applyFont="1" applyFill="1" applyBorder="1" applyAlignment="1" applyProtection="1"/>
    <xf numFmtId="0" fontId="3" fillId="0" borderId="44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46" xfId="0" applyFont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25" xfId="0" applyFont="1" applyFill="1" applyBorder="1" applyAlignment="1">
      <alignment horizontal="center" vertical="center"/>
    </xf>
    <xf numFmtId="0" fontId="5" fillId="6" borderId="7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0" fontId="5" fillId="6" borderId="27" xfId="0" applyFon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" xfId="0" applyBorder="1" applyAlignment="1">
      <alignment horizontal="center"/>
    </xf>
    <xf numFmtId="0" fontId="20" fillId="0" borderId="0" xfId="0" applyFont="1" applyAlignment="1">
      <alignment horizontal="center"/>
    </xf>
    <xf numFmtId="0" fontId="0" fillId="0" borderId="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</cellXfs>
  <cellStyles count="6">
    <cellStyle name="Comma" xfId="1" builtinId="3"/>
    <cellStyle name="Comma 2" xfId="4" xr:uid="{00000000-0005-0000-0000-000001000000}"/>
    <cellStyle name="Comma 3" xfId="5" xr:uid="{00000000-0005-0000-0000-000002000000}"/>
    <cellStyle name="Currency" xfId="2" builtinId="4"/>
    <cellStyle name="Normal" xfId="0" builtinId="0"/>
    <cellStyle name="Percent" xfId="3" builtinId="5"/>
  </cellStyles>
  <dxfs count="13">
    <dxf>
      <alignment horizontal="center" readingOrder="0"/>
    </dxf>
    <dxf>
      <alignment vertical="center" readingOrder="0"/>
    </dxf>
    <dxf>
      <alignment wrapTex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.00_);_(* \(#,##0.00\);_(* &quot;-&quot;??_);_(@_)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Program Income &amp; Load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526529046770842"/>
          <c:y val="0.18401245701396532"/>
          <c:w val="0.79140930585327707"/>
          <c:h val="0.596617058155519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'Detailed Summary'!$A$14</c:f>
              <c:strCache>
                <c:ptCount val="1"/>
                <c:pt idx="0">
                  <c:v>TOTAL INCOME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'Detailed Summary'!$B$4:$G$4</c:f>
              <c:numCache>
                <c:formatCode>0</c:formatCode>
                <c:ptCount val="6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</c:numCache>
            </c:numRef>
          </c:cat>
          <c:val>
            <c:numRef>
              <c:f>'Detailed Summary'!$B$14:$G$14</c:f>
              <c:numCache>
                <c:formatCode>#,##0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49-416E-93EC-511825DBF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2935288"/>
        <c:axId val="142936072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'Detailed Summary'!$A$71</c15:sqref>
                        </c15:formulaRef>
                      </c:ext>
                    </c:extLst>
                    <c:strCache>
                      <c:ptCount val="1"/>
                      <c:pt idx="0">
                        <c:v>Domestic Income</c:v>
                      </c:pt>
                    </c:strCache>
                  </c:strRef>
                </c:tx>
                <c:spPr>
                  <a:solidFill>
                    <a:schemeClr val="bg1">
                      <a:lumMod val="7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'Detailed Summary'!$B$4:$G$4</c15:sqref>
                        </c15:formulaRef>
                      </c:ext>
                    </c:extLst>
                    <c:numCache>
                      <c:formatCode>0</c:formatCode>
                      <c:ptCount val="6"/>
                      <c:pt idx="0">
                        <c:v>2024</c:v>
                      </c:pt>
                      <c:pt idx="1">
                        <c:v>2025</c:v>
                      </c:pt>
                      <c:pt idx="2">
                        <c:v>2026</c:v>
                      </c:pt>
                      <c:pt idx="3">
                        <c:v>2027</c:v>
                      </c:pt>
                      <c:pt idx="4">
                        <c:v>2028</c:v>
                      </c:pt>
                      <c:pt idx="5">
                        <c:v>2029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'Detailed Summary'!$B$71:$G$71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F549-416E-93EC-511825DBFE87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2"/>
          <c:order val="2"/>
          <c:tx>
            <c:strRef>
              <c:f>'Detailed Summary'!$A$9</c:f>
              <c:strCache>
                <c:ptCount val="1"/>
                <c:pt idx="0">
                  <c:v>TOTAL ENROLMENTS PER YEAR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'Detailed Summary'!$B$4:$G$4</c:f>
              <c:numCache>
                <c:formatCode>0</c:formatCode>
                <c:ptCount val="6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</c:numCache>
            </c:numRef>
          </c:cat>
          <c:val>
            <c:numRef>
              <c:f>'Detailed Summary'!$B$9:$G$9</c:f>
              <c:numCache>
                <c:formatCode>#,##0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918-4A27-B157-58762D5C3C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936856"/>
        <c:axId val="142936464"/>
      </c:lineChart>
      <c:catAx>
        <c:axId val="142935288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936072"/>
        <c:crosses val="autoZero"/>
        <c:auto val="1"/>
        <c:lblAlgn val="ctr"/>
        <c:lblOffset val="100"/>
        <c:noMultiLvlLbl val="0"/>
      </c:catAx>
      <c:valAx>
        <c:axId val="142936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($'000)</a:t>
                </a:r>
              </a:p>
            </c:rich>
          </c:tx>
          <c:layout>
            <c:manualLayout>
              <c:xMode val="edge"/>
              <c:yMode val="edge"/>
              <c:x val="4.4373045205275262E-2"/>
              <c:y val="7.584787393999002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,##0,_);_(* \(#,##0,\)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935288"/>
        <c:crosses val="autoZero"/>
        <c:crossBetween val="between"/>
      </c:valAx>
      <c:valAx>
        <c:axId val="142936464"/>
        <c:scaling>
          <c:orientation val="minMax"/>
        </c:scaling>
        <c:delete val="0"/>
        <c:axPos val="r"/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936856"/>
        <c:crosses val="max"/>
        <c:crossBetween val="between"/>
      </c:valAx>
      <c:catAx>
        <c:axId val="142936856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14293646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Contribution at the Direct Cost Level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9017819263647598E-2"/>
          <c:y val="0.17171296296296296"/>
          <c:w val="0.87992816246563044"/>
          <c:h val="0.62357939632545933"/>
        </c:manualLayout>
      </c:layout>
      <c:barChart>
        <c:barDir val="col"/>
        <c:grouping val="stacked"/>
        <c:varyColors val="0"/>
        <c:ser>
          <c:idx val="2"/>
          <c:order val="2"/>
          <c:tx>
            <c:v>School Margin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'Detailed Summary'!$B$60:$G$60</c:f>
              <c:numCache>
                <c:formatCode>#,##0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DE-44BD-AD18-38D7F2D48D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42937640"/>
        <c:axId val="14293803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'Detailed Summary'!$A$66</c15:sqref>
                        </c15:formulaRef>
                      </c:ext>
                    </c:extLst>
                    <c:strCache>
                      <c:ptCount val="1"/>
                      <c:pt idx="0">
                        <c:v>Salary</c:v>
                      </c:pt>
                    </c:strCache>
                  </c:strRef>
                </c:tx>
                <c:spPr>
                  <a:solidFill>
                    <a:schemeClr val="bg1">
                      <a:lumMod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'Detailed Summary'!$B$4:$G$4</c15:sqref>
                        </c15:formulaRef>
                      </c:ext>
                    </c:extLst>
                    <c:numCache>
                      <c:formatCode>0</c:formatCode>
                      <c:ptCount val="6"/>
                      <c:pt idx="0">
                        <c:v>2024</c:v>
                      </c:pt>
                      <c:pt idx="1">
                        <c:v>2025</c:v>
                      </c:pt>
                      <c:pt idx="2">
                        <c:v>2026</c:v>
                      </c:pt>
                      <c:pt idx="3">
                        <c:v>2027</c:v>
                      </c:pt>
                      <c:pt idx="4">
                        <c:v>2028</c:v>
                      </c:pt>
                      <c:pt idx="5">
                        <c:v>2029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'Detailed Summary'!$B$66:$G$66</c15:sqref>
                        </c15:formulaRef>
                      </c:ext>
                    </c:extLst>
                    <c:numCache>
                      <c:formatCode>_(* #,##0,_);_(* \(#,##0,\);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FADE-44BD-AD18-38D7F2D48D7D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'Detailed Summary'!$A$67</c15:sqref>
                        </c15:formulaRef>
                      </c:ext>
                    </c:extLst>
                    <c:strCache>
                      <c:ptCount val="1"/>
                      <c:pt idx="0">
                        <c:v>Non-Salary</c:v>
                      </c:pt>
                    </c:strCache>
                  </c:strRef>
                </c:tx>
                <c:spPr>
                  <a:solidFill>
                    <a:schemeClr val="bg1">
                      <a:lumMod val="7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'Detailed Summary'!$B$67:$G$67</c15:sqref>
                        </c15:formulaRef>
                      </c:ext>
                    </c:extLst>
                    <c:numCache>
                      <c:formatCode>_(* #,##0,_);_(* \(#,##0,\);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FADE-44BD-AD18-38D7F2D48D7D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v>Contribution Margin</c:v>
          </c:tx>
          <c:spPr>
            <a:ln w="28575" cap="rnd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'Detailed Summary'!$B$61:$G$61</c:f>
              <c:numCache>
                <c:formatCode>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ADE-44BD-AD18-38D7F2D48D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938816"/>
        <c:axId val="142938424"/>
      </c:lineChart>
      <c:catAx>
        <c:axId val="14293764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938032"/>
        <c:crosses val="autoZero"/>
        <c:auto val="1"/>
        <c:lblAlgn val="ctr"/>
        <c:lblOffset val="100"/>
        <c:noMultiLvlLbl val="0"/>
      </c:catAx>
      <c:valAx>
        <c:axId val="1429380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($'000)</a:t>
                </a:r>
              </a:p>
            </c:rich>
          </c:tx>
          <c:layout>
            <c:manualLayout>
              <c:xMode val="edge"/>
              <c:yMode val="edge"/>
              <c:x val="0"/>
              <c:y val="7.523877223680372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937640"/>
        <c:crosses val="autoZero"/>
        <c:crossBetween val="between"/>
      </c:valAx>
      <c:valAx>
        <c:axId val="142938424"/>
        <c:scaling>
          <c:orientation val="minMax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CM %</a:t>
                </a:r>
              </a:p>
            </c:rich>
          </c:tx>
          <c:layout>
            <c:manualLayout>
              <c:xMode val="edge"/>
              <c:yMode val="edge"/>
              <c:x val="0.94343889683726478"/>
              <c:y val="7.98684018664333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938816"/>
        <c:crosses val="max"/>
        <c:crossBetween val="between"/>
      </c:valAx>
      <c:catAx>
        <c:axId val="142938816"/>
        <c:scaling>
          <c:orientation val="minMax"/>
        </c:scaling>
        <c:delete val="1"/>
        <c:axPos val="b"/>
        <c:majorTickMark val="out"/>
        <c:minorTickMark val="none"/>
        <c:tickLblPos val="nextTo"/>
        <c:crossAx val="14293842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35719</xdr:colOff>
      <xdr:row>61</xdr:row>
      <xdr:rowOff>128984</xdr:rowOff>
    </xdr:from>
    <xdr:to>
      <xdr:col>2</xdr:col>
      <xdr:colOff>702469</xdr:colOff>
      <xdr:row>75</xdr:row>
      <xdr:rowOff>166687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647701</xdr:colOff>
      <xdr:row>61</xdr:row>
      <xdr:rowOff>42268</xdr:rowOff>
    </xdr:from>
    <xdr:to>
      <xdr:col>6</xdr:col>
      <xdr:colOff>1085851</xdr:colOff>
      <xdr:row>75</xdr:row>
      <xdr:rowOff>146249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304800</xdr:colOff>
      <xdr:row>3</xdr:row>
      <xdr:rowOff>304800</xdr:rowOff>
    </xdr:to>
    <xdr:sp macro="" textlink="">
      <xdr:nvSpPr>
        <xdr:cNvPr id="1025" name="AutoShape 1">
          <a:extLst>
            <a:ext uri="{FF2B5EF4-FFF2-40B4-BE49-F238E27FC236}">
              <a16:creationId xmlns:a16="http://schemas.microsoft.com/office/drawing/2014/main" id="{3C7CA653-4BF9-272C-6027-977883CF6E93}"/>
            </a:ext>
          </a:extLst>
        </xdr:cNvPr>
        <xdr:cNvSpPr>
          <a:spLocks noChangeAspect="1" noChangeArrowheads="1"/>
        </xdr:cNvSpPr>
      </xdr:nvSpPr>
      <xdr:spPr bwMode="auto">
        <a:xfrm>
          <a:off x="12925425" y="885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95250</xdr:colOff>
      <xdr:row>0</xdr:row>
      <xdr:rowOff>76201</xdr:rowOff>
    </xdr:from>
    <xdr:to>
      <xdr:col>0</xdr:col>
      <xdr:colOff>2421524</xdr:colOff>
      <xdr:row>1</xdr:row>
      <xdr:rowOff>228601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416D92A6-707D-B3B2-17DD-9DEA299379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76201"/>
          <a:ext cx="2326274" cy="4953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griffitheduau.sharepoint.com/staff.ad.griffith.edu.au/ud/uashare/UA-SHARE/Model/2013%20-%202015%20budget/Budget%20Model%20Versions/0.1%202013%20Budget%20Model/3rd%20Draft/Budget%20Model%202013%203rd%20Draft%20v3.8%20INCLUDING%20FM%202012.33%20v1%20EIRP.xls?6FA94D6A" TargetMode="External"/><Relationship Id="rId1" Type="http://schemas.openxmlformats.org/officeDocument/2006/relationships/externalLinkPath" Target="file:///\\6FA94D6A\Budget%20Model%202013%203rd%20Draft%20v3.8%20INCLUDING%20FM%202012.33%20v1%20EIRP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vironment Params &amp; Notes"/>
      <sheetName val="Group Level Input"/>
      <sheetName val="University Level Input"/>
      <sheetName val="Overhead Input"/>
      <sheetName val="TM1 Data"/>
      <sheetName val="Translation Lookups"/>
      <sheetName val="Pivot TM1"/>
      <sheetName val="Perf &amp; Rsch Ind Input"/>
      <sheetName val="TM1 Lookup Ranges"/>
      <sheetName val="Overhead Drivers"/>
      <sheetName val="Overhead Calculation"/>
      <sheetName val="DEEWR Rsch Funds"/>
      <sheetName val="Initial Income"/>
      <sheetName val="Attributions"/>
      <sheetName val="Support Service Costs"/>
      <sheetName val="GCAM Attribution"/>
      <sheetName val="Year 1"/>
      <sheetName val="Year 2"/>
      <sheetName val="Year 3"/>
      <sheetName val="Year 4"/>
      <sheetName val="Year 5"/>
      <sheetName val="Year 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riffitheduau.sharepoint.com/staff.ad.griffith.edu.au/ud/fbs/Group%20Resources/Business%20Group/Business/Group%20Budget%20Reporting/2018_4_FRR/Agents%20Commissions/Agent%20Commission%202018%20Forecast%20Allocation%20April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 Chhatbar" refreshedDate="43216.545564004628" createdVersion="6" refreshedVersion="6" minRefreshableVersion="3" recordCount="35" xr:uid="{00000000-000A-0000-FFFF-FFFF00000000}">
  <cacheSource type="worksheet">
    <worksheetSource ref="A19:AB54" sheet="Forecast Apr 18" r:id="rId2"/>
  </cacheSource>
  <cacheFields count="28">
    <cacheField name="GROUP" numFmtId="0">
      <sharedItems containsBlank="1" count="6">
        <s v="AEL"/>
        <s v="BUS"/>
        <s v="HTH"/>
        <s v="SCG"/>
        <s v="OTH"/>
        <m/>
      </sharedItems>
    </cacheField>
    <cacheField name="DEPARTMENT" numFmtId="0">
      <sharedItems containsBlank="1" count="31">
        <s v="CCJ - School of Criminology and Criminal Justice"/>
        <s v="EDN - School of Education and Professional Studies"/>
        <s v="LAW - Griffith Law School"/>
        <s v="LHS - School of Humanities, Languages and Social Science"/>
        <s v="GFS - Griffith Film School"/>
        <s v="QCA - Queensland College of Art"/>
        <s v="QCM - Queensland Conservatorium"/>
        <s v="TOTAL"/>
        <s v="AFE - Department of Accounting, Finance and Economics"/>
        <s v="EHR - Dept of Employment Relations and Human Resources"/>
        <s v="GIR - School of Government and International Relations"/>
        <s v="THS - Department of Tourism, Sport and Hotel Management"/>
        <s v="IBA - Dept of International Business and Asian Studies"/>
        <s v="MKT - Department of Marketing"/>
        <s v="AHS - School of Allied Health Sciences"/>
        <s v="DOH - School of Dentistry and Oral Health"/>
        <s v="HSV - School of Human Services and Social Work"/>
        <s v="MED - School of Medicine"/>
        <s v="MSC - School of Medical Science"/>
        <s v="NRS - School of Nursing and Midwifery"/>
        <s v="PHM - School of Pharmacy"/>
        <s v="PSY - School of Applied Psychology"/>
        <s v="NSC - School of Natural Sciences"/>
        <s v="ENG - Griffith School of Engineering"/>
        <s v="ENV - Griffith School of Environment"/>
        <s v="ICT - School of Information and Communication Technology"/>
        <s v="ESC - School - School of Environment and Science"/>
        <s v="CBN - PG UG"/>
        <s v="LFC - Centre for Learning Futures"/>
        <s v="GLY - Institute for Glycomics"/>
        <m/>
      </sharedItems>
    </cacheField>
    <cacheField name="Tri 1 Student EFTSL" numFmtId="0">
      <sharedItems containsString="0" containsBlank="1" containsNumber="1" minValue="1" maxValue="1058.8052238860002"/>
    </cacheField>
    <cacheField name="Tri 2 Student EFTSL" numFmtId="0">
      <sharedItems containsString="0" containsBlank="1" containsNumber="1" minValue="0" maxValue="639.63623105299985"/>
    </cacheField>
    <cacheField name="Tri 3 Student EFTSL" numFmtId="0">
      <sharedItems containsString="0" containsBlank="1" containsNumber="1" minValue="0" maxValue="158.22499994500012"/>
    </cacheField>
    <cacheField name="Total Student EFTSL" numFmtId="0">
      <sharedItems containsString="0" containsBlank="1" containsNumber="1" minValue="1" maxValue="1856.6664548840001"/>
    </cacheField>
    <cacheField name="EFTSL %" numFmtId="0">
      <sharedItems containsString="0" containsBlank="1" containsNumber="1" minValue="5.3859970236952307E-4" maxValue="0.99999999999999989"/>
    </cacheField>
    <cacheField name="Total 2018 Budget" numFmtId="166">
      <sharedItems containsString="0" containsBlank="1" containsNumber="1" minValue="4141.6006376624209" maxValue="7689570.9734740006" count="35">
        <n v="95724.993010020495"/>
        <n v="146758.54370904394"/>
        <n v="42698.371880119885"/>
        <n v="592969.96975417226"/>
        <n v="40121.756160788274"/>
        <n v="352164.06861690467"/>
        <n v="28700.767876996615"/>
        <n v="1299138.4710080461"/>
        <n v="1070100.2575824042"/>
        <n v="280534.20548597322"/>
        <n v="151175.76849038288"/>
        <n v="1001251.0844277403"/>
        <n v="439852.03022258834"/>
        <n v="424175.04853962432"/>
        <n v="3367088.3947487129"/>
        <n v="109934.6999368642"/>
        <n v="41070.872987391274"/>
        <n v="120571.36713712731"/>
        <n v="378847.75089647027"/>
        <n v="162792.79829727652"/>
        <n v="374072.60681368416"/>
        <n v="30022.488319311575"/>
        <n v="127396.17787840916"/>
        <n v="1344708.7622665344"/>
        <n v="416937.11159820197"/>
        <n v="485898.86920456245"/>
        <n v="236583.61805627236"/>
        <n v="201224.77932709822"/>
        <m/>
        <n v="1340644.3781861351"/>
        <n v="315716.38757393666"/>
        <n v="18132.979052972765"/>
        <n v="4141.6006376624209"/>
        <n v="337990.96726457181"/>
        <n v="7689570.9734740006"/>
      </sharedItems>
    </cacheField>
    <cacheField name="a" numFmtId="166">
      <sharedItems containsNonDate="0" containsString="0" containsBlank="1"/>
    </cacheField>
    <cacheField name="Tri 1 Allocation (Apr 2018)" numFmtId="0">
      <sharedItems containsString="0" containsBlank="1" containsNumber="1" minValue="4141.6006376624209" maxValue="4385148.3904065611"/>
    </cacheField>
    <cacheField name="Tri 2 Allocation (Aug 2018)" numFmtId="0">
      <sharedItems containsString="0" containsBlank="1" containsNumber="1" minValue="0" maxValue="2649117.8224010919"/>
    </cacheField>
    <cacheField name="Tri 1 Allocation (Dec 2018)" numFmtId="0">
      <sharedItems containsString="0" containsBlank="1" containsNumber="1" minValue="0" maxValue="655304.76066634909"/>
    </cacheField>
    <cacheField name="Speedtype " numFmtId="0">
      <sharedItems containsBlank="1" containsMixedTypes="1" containsNumber="1" minValue="7689570.9734740024" maxValue="7689570.9734740024"/>
    </cacheField>
    <cacheField name="Class" numFmtId="0">
      <sharedItems containsBlank="1"/>
    </cacheField>
    <cacheField name="b" numFmtId="0">
      <sharedItems containsNonDate="0" containsString="0" containsBlank="1"/>
    </cacheField>
    <cacheField name="Tri 1 Student EFTSL2" numFmtId="0">
      <sharedItems containsSemiMixedTypes="0" containsString="0" containsNumber="1" minValue="0" maxValue="1051.2209212499997"/>
    </cacheField>
    <cacheField name="Tri 2 Student EFTSL2" numFmtId="0">
      <sharedItems containsSemiMixedTypes="0" containsString="0" containsNumber="1" minValue="0" maxValue="639.62413605799998"/>
    </cacheField>
    <cacheField name="Tri 3 Student EFTSL2" numFmtId="0">
      <sharedItems containsSemiMixedTypes="0" containsString="0" containsNumber="1" minValue="0" maxValue="158.22499989300002"/>
    </cacheField>
    <cacheField name="Total Student EFTSL2" numFmtId="0">
      <sharedItems containsSemiMixedTypes="0" containsString="0" containsNumber="1" minValue="0" maxValue="1849.0700572009998"/>
    </cacheField>
    <cacheField name="EFTSL %2" numFmtId="0">
      <sharedItems containsSemiMixedTypes="0" containsString="0" containsNumber="1" minValue="0" maxValue="0.99999999999999978"/>
    </cacheField>
    <cacheField name="Total 2018 Forecast" numFmtId="166">
      <sharedItems containsSemiMixedTypes="0" containsString="0" containsNumber="1" minValue="0" maxValue="7689570.9734740006"/>
    </cacheField>
    <cacheField name="Forcast to Budget Var" numFmtId="0">
      <sharedItems containsString="0" containsBlank="1" containsNumber="1" minValue="-416937.11159820197" maxValue="533283.72178513545"/>
    </cacheField>
    <cacheField name="c" numFmtId="0">
      <sharedItems containsNonDate="0" containsString="0" containsBlank="1"/>
    </cacheField>
    <cacheField name="Tri 1 Allocation (Apr 2018)2" numFmtId="0">
      <sharedItems containsSemiMixedTypes="0" containsString="0" containsNumber="1" minValue="0" maxValue="4371623.3742861906"/>
    </cacheField>
    <cacheField name="Tri 2 Allocation (Aug 2018)2" numFmtId="0">
      <sharedItems containsSemiMixedTypes="0" containsString="0" containsNumber="1" minValue="0" maxValue="2659950.6986826574"/>
    </cacheField>
    <cacheField name="Tri 1 Allocation (Dec 2018)2" numFmtId="0">
      <sharedItems containsSemiMixedTypes="0" containsString="0" containsNumber="1" minValue="0" maxValue="657996.90050515078"/>
    </cacheField>
    <cacheField name="Speedtype 2" numFmtId="0">
      <sharedItems containsBlank="1" containsMixedTypes="1" containsNumber="1" minValue="7689570.9734739987" maxValue="7689570.9734739987"/>
    </cacheField>
    <cacheField name="Class2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">
  <r>
    <x v="0"/>
    <x v="0"/>
    <n v="15.624047876000009"/>
    <n v="7.4889949750000016"/>
    <n v="0"/>
    <n v="23.11304285100001"/>
    <n v="1.2448678000402639E-2"/>
    <x v="0"/>
    <m/>
    <n v="64708.56664610983"/>
    <n v="31016.426363910672"/>
    <n v="0"/>
    <s v="CCJ1001"/>
    <s v="00000"/>
    <m/>
    <n v="16.625"/>
    <n v="7.5699385150000005"/>
    <n v="0.409090909"/>
    <n v="24.604029424"/>
    <n v="1.330616399750908E-2"/>
    <n v="102318.6924435306"/>
    <n v="6593.6994335101044"/>
    <m/>
    <n v="69136.978848448649"/>
    <n v="31480.461894472894"/>
    <n v="1701.2517006090607"/>
    <s v="CCJ1001"/>
    <s v="00000"/>
  </r>
  <r>
    <x v="0"/>
    <x v="1"/>
    <n v="31.136586101000002"/>
    <n v="4.2986372700000004"/>
    <n v="0"/>
    <n v="35.435223371000006"/>
    <n v="1.9085400761018171E-2"/>
    <x v="1"/>
    <m/>
    <n v="128955.30485053248"/>
    <n v="17803.23885851145"/>
    <n v="0"/>
    <s v="EDN1001"/>
    <s v="00000"/>
    <m/>
    <n v="25.159499999999987"/>
    <n v="4.3177521030000001"/>
    <n v="0"/>
    <n v="29.477252102999987"/>
    <n v="1.5941663209678873E-2"/>
    <n v="122584.55068604504"/>
    <n v="-24173.993022998897"/>
    <m/>
    <n v="104628.68086240861"/>
    <n v="17955.869823636433"/>
    <n v="0"/>
    <s v="EDN1001"/>
    <s v="00000"/>
  </r>
  <r>
    <x v="0"/>
    <x v="2"/>
    <n v="8.6241079670000005"/>
    <n v="1.6855224430000002"/>
    <n v="0"/>
    <n v="10.30963041"/>
    <n v="5.5527638703657843E-3"/>
    <x v="2"/>
    <m/>
    <n v="35717.611055396766"/>
    <n v="6980.7608247231219"/>
    <n v="0"/>
    <s v="LAW1001"/>
    <s v="00000"/>
    <m/>
    <n v="7.4384999999999994"/>
    <n v="1.6424854360000001"/>
    <n v="0"/>
    <n v="9.0809854359999989"/>
    <n v="4.911109452362338E-3"/>
    <n v="37764.32469243923"/>
    <n v="-4934.047187680655"/>
    <m/>
    <n v="30933.859679048735"/>
    <n v="6830.4650133904943"/>
    <n v="0"/>
    <s v="LAW1001"/>
    <s v="00000"/>
  </r>
  <r>
    <x v="0"/>
    <x v="3"/>
    <n v="86.077159654000098"/>
    <n v="53.775560347999985"/>
    <n v="3.3213862509999998"/>
    <n v="143.17410625300008"/>
    <n v="7.7113531014888312E-2"/>
    <x v="3"/>
    <m/>
    <n v="356497.2193111768"/>
    <n v="222716.8950279307"/>
    <n v="13755.855415064794"/>
    <s v="LHS1001"/>
    <s v="00000"/>
    <m/>
    <n v="91.117312499999741"/>
    <n v="54.938189836000021"/>
    <n v="9.4136430359999963"/>
    <n v="155.46914537199976"/>
    <n v="8.4079640339500536E-2"/>
    <n v="646536.36181475699"/>
    <n v="53566.392060584738"/>
    <m/>
    <n v="378921.84703999804"/>
    <n v="228466.79510758436"/>
    <n v="39147.719667174591"/>
    <s v="LHS1001"/>
    <s v="00000"/>
  </r>
  <r>
    <x v="0"/>
    <x v="4"/>
    <n v="8.9374999959999961"/>
    <n v="0.75"/>
    <n v="0"/>
    <n v="9.6874999959999961"/>
    <n v="5.2176846145503535E-3"/>
    <x v="4"/>
    <m/>
    <n v="37015.555682541468"/>
    <n v="3106.2004782468157"/>
    <n v="0"/>
    <s v="GFS1001"/>
    <s v="00000"/>
    <m/>
    <n v="8.69"/>
    <n v="0.74632352999999996"/>
    <n v="0"/>
    <n v="9.4363235299999992"/>
    <n v="5.103280696829888E-3"/>
    <n v="39242.039115833279"/>
    <n v="-879.7170449549958"/>
    <m/>
    <n v="36138.366688301881"/>
    <n v="3103.6724275314"/>
    <n v="0"/>
    <s v="GFS1001"/>
    <s v="00000"/>
  </r>
  <r>
    <x v="0"/>
    <x v="5"/>
    <n v="55.446924689000021"/>
    <n v="26.869698995999872"/>
    <n v="2.7142857210000004"/>
    <n v="85.030909405999893"/>
    <n v="4.5797622498281419E-2"/>
    <x v="5"/>
    <m/>
    <n v="229639.01864838271"/>
    <n v="111283.56249563038"/>
    <n v="11241.487472891604"/>
    <s v="COA1001"/>
    <s v="00000"/>
    <m/>
    <n v="45.172000000000097"/>
    <n v="26.60598539299988"/>
    <n v="2.7142857210000004"/>
    <n v="74.492271113999976"/>
    <n v="4.0286343302082049E-2"/>
    <n v="309784.69608309882"/>
    <n v="-42379.372533805843"/>
    <m/>
    <n v="187852.96893486488"/>
    <n v="110644.05710423857"/>
    <n v="11287.67004399538"/>
    <s v="COA1001"/>
    <s v="00000"/>
  </r>
  <r>
    <x v="0"/>
    <x v="6"/>
    <n v="5.8011481830000005"/>
    <n v="1.1287251650000001"/>
    <n v="0"/>
    <n v="6.929873348000001"/>
    <n v="3.7324277226912909E-3"/>
    <x v="6"/>
    <m/>
    <n v="24026.039013886995"/>
    <n v="4674.7288631096217"/>
    <n v="0"/>
    <s v="QCM1001"/>
    <s v="00000"/>
    <m/>
    <n v="10.1875"/>
    <n v="1.097826086"/>
    <n v="0"/>
    <n v="11.285326086"/>
    <n v="6.1032441913439345E-3"/>
    <n v="46931.329377782116"/>
    <n v="18230.561500785501"/>
    <m/>
    <n v="42365.893053748601"/>
    <n v="4565.4363240335133"/>
    <n v="0"/>
    <s v="QCM1001"/>
    <s v="00000"/>
  </r>
  <r>
    <x v="0"/>
    <x v="7"/>
    <n v="211.64747446600012"/>
    <n v="95.997139196999868"/>
    <n v="6.0356719720000003"/>
    <n v="313.68028563500002"/>
    <n v="0.16894810848219796"/>
    <x v="7"/>
    <m/>
    <n v="876559.31520802702"/>
    <n v="397581.81291206274"/>
    <n v="24997.342887956398"/>
    <m/>
    <m/>
    <m/>
    <n v="204.38981249999983"/>
    <n v="96.918500898999895"/>
    <n v="12.537019665999996"/>
    <n v="313.84533306499969"/>
    <n v="0.16973144518930672"/>
    <n v="1305161.9942134859"/>
    <n v="6023.5232054397929"/>
    <m/>
    <n v="849978.59510681941"/>
    <n v="403046.7576948877"/>
    <n v="52136.641411779034"/>
    <m/>
    <m/>
  </r>
  <r>
    <x v="1"/>
    <x v="8"/>
    <n v="121.80133860500018"/>
    <n v="90.352041629999931"/>
    <n v="46.225046659000121"/>
    <n v="258.3784268940002"/>
    <n v="0.13916254382381407"/>
    <x v="8"/>
    <m/>
    <n v="504452.50163460517"/>
    <n v="374202.07322890928"/>
    <n v="191445.68271889005"/>
    <s v="AFE1001"/>
    <s v="00000"/>
    <m/>
    <n v="119.23512500000005"/>
    <n v="92.751677772000008"/>
    <n v="19.326584204999993"/>
    <n v="231.31338697700005"/>
    <n v="0.12509714603628755"/>
    <n v="961943.38302507484"/>
    <n v="-108156.87455732934"/>
    <m/>
    <n v="495853.01143561711"/>
    <n v="385718.54341539182"/>
    <n v="80371.828174065944"/>
    <s v="AFE1001"/>
    <s v="00000"/>
  </r>
  <r>
    <x v="1"/>
    <x v="9"/>
    <n v="34.327762926999988"/>
    <n v="19.871681746"/>
    <n v="13.536252230000001"/>
    <n v="67.73569690299999"/>
    <n v="3.6482426191748019E-2"/>
    <x v="9"/>
    <m/>
    <n v="142171.88482798755"/>
    <n v="82300.569790658294"/>
    <n v="56061.75086732737"/>
    <s v="EHR1001"/>
    <s v="00000"/>
    <m/>
    <n v="33.401749999999971"/>
    <n v="18.683264061999996"/>
    <n v="6.2558731539999997"/>
    <n v="58.34088721599997"/>
    <n v="3.1551474747426582E-2"/>
    <n v="242617.30438810936"/>
    <n v="-37916.901097863854"/>
    <m/>
    <n v="138905.02756397999"/>
    <n v="77696.507204479669"/>
    <n v="26015.769619649665"/>
    <s v="EHR1001"/>
    <s v="00000"/>
  </r>
  <r>
    <x v="1"/>
    <x v="10"/>
    <n v="20.010797434000004"/>
    <n v="14.307496967000002"/>
    <n v="2.1834791199999986"/>
    <n v="36.501773521000004"/>
    <n v="1.9659844354370341E-2"/>
    <x v="10"/>
    <m/>
    <n v="82876.731412787951"/>
    <n v="59255.938561880357"/>
    <n v="9043.0985157145751"/>
    <s v="GIR1001"/>
    <s v="00000"/>
    <m/>
    <n v="22.135249999999989"/>
    <n v="16.159890971999999"/>
    <n v="0.62499996800000057"/>
    <n v="38.920140939999982"/>
    <n v="2.1048494505889474E-2"/>
    <n v="161853.89238781467"/>
    <n v="10678.123897431797"/>
    <m/>
    <n v="92051.988634894558"/>
    <n v="67202.769342821062"/>
    <n v="2599.1344100990746"/>
    <s v="GIR1001"/>
    <s v="00000"/>
  </r>
  <r>
    <x v="1"/>
    <x v="11"/>
    <n v="108.770739253"/>
    <n v="81.413403512999992"/>
    <n v="51.570476287000005"/>
    <n v="241.754619053"/>
    <n v="0.13020896586840322"/>
    <x v="11"/>
    <m/>
    <n v="450484.96304923773"/>
    <n v="337181.8039037087"/>
    <n v="213584.31747479396"/>
    <s v="THS1001"/>
    <s v="00000"/>
    <m/>
    <n v="105.24400000000009"/>
    <n v="80.026330157000004"/>
    <n v="48.996313314000005"/>
    <n v="234.26664347100012"/>
    <n v="0.12669430374402227"/>
    <n v="974224.84057453205"/>
    <n v="-27026.24385320826"/>
    <m/>
    <n v="437669.30537901563"/>
    <n v="332798.71851930686"/>
    <n v="203756.81667620939"/>
    <s v="THS1001"/>
    <s v="00000"/>
  </r>
  <r>
    <x v="1"/>
    <x v="12"/>
    <n v="55.229131865000042"/>
    <n v="42.210177062000035"/>
    <n v="8.764081671000028"/>
    <n v="106.2033905980001"/>
    <n v="5.720111456671706E-2"/>
    <x v="12"/>
    <m/>
    <n v="228737.00774962609"/>
    <n v="174817.69623582304"/>
    <n v="36297.326237139248"/>
    <s v="IBA1001"/>
    <s v="00000"/>
    <m/>
    <n v="49.021699999999989"/>
    <n v="41.058959484999981"/>
    <n v="15.813643068000031"/>
    <n v="105.894302553"/>
    <n v="5.7268951027899834E-2"/>
    <n v="440373.66350544262"/>
    <n v="521.63328285427997"/>
    <m/>
    <n v="203862.39013624028"/>
    <n v="170748.41584684234"/>
    <n v="65762.857522359991"/>
    <s v="IBA1001"/>
    <s v="00000"/>
  </r>
  <r>
    <x v="1"/>
    <x v="13"/>
    <n v="53.941254467999954"/>
    <n v="40.157331921999997"/>
    <n v="8.3195571369999968"/>
    <n v="102.41814352699996"/>
    <n v="5.5162381620881273E-2"/>
    <x v="13"/>
    <m/>
    <n v="223403.13390097953"/>
    <n v="166315.63149497667"/>
    <n v="34456.28314366813"/>
    <s v="MKT1001"/>
    <s v="00000"/>
    <m/>
    <n v="48.476999999999983"/>
    <n v="38.575618619000011"/>
    <n v="23.064978243999999"/>
    <n v="110.11759686299999"/>
    <n v="5.9552960924416642E-2"/>
    <n v="457936.71970882558"/>
    <n v="33761.671169201261"/>
    <m/>
    <n v="201597.19239917258"/>
    <n v="160421.15660316547"/>
    <n v="95918.370706487578"/>
    <s v="MKT1001"/>
    <s v="00000"/>
  </r>
  <r>
    <x v="1"/>
    <x v="7"/>
    <n v="394.0810245520002"/>
    <n v="288.31213283999995"/>
    <n v="130.59889310400015"/>
    <n v="812.99205049600016"/>
    <n v="0.43787727642593399"/>
    <x v="14"/>
    <m/>
    <n v="1632126.2225752242"/>
    <n v="1194073.7132159562"/>
    <n v="540888.45895753335"/>
    <m/>
    <m/>
    <m/>
    <n v="377.51482500000009"/>
    <n v="287.25574106700003"/>
    <n v="114.08239195300004"/>
    <n v="778.85295802000019"/>
    <n v="0.42121333098594238"/>
    <n v="3238949.8035897985"/>
    <n v="-128138.59115891438"/>
    <m/>
    <n v="1569938.9155489202"/>
    <n v="1194586.1109320072"/>
    <n v="474424.77710887161"/>
    <m/>
    <m/>
  </r>
  <r>
    <x v="2"/>
    <x v="14"/>
    <n v="23.746059351000003"/>
    <n v="2.506614769"/>
    <n v="0.29133858299999998"/>
    <n v="26.544012703000003"/>
    <n v="1.4296597341528642E-2"/>
    <x v="15"/>
    <m/>
    <n v="98346.69455007129"/>
    <n v="10381.397325664442"/>
    <n v="1206.608061128466"/>
    <s v="AHS1001"/>
    <s v="00000"/>
    <m/>
    <n v="26.80387499999998"/>
    <n v="2.460748792"/>
    <n v="0.25"/>
    <n v="29.514623791999981"/>
    <n v="1.5961874282187701E-2"/>
    <n v="122739.9651625517"/>
    <n v="12805.265225687501"/>
    <m/>
    <n v="111467.00384550137"/>
    <n v="10233.307499780425"/>
    <n v="1039.6538172699045"/>
    <s v="AHS1001"/>
    <s v="00000"/>
  </r>
  <r>
    <x v="2"/>
    <x v="15"/>
    <n v="9.4166666660000011"/>
    <n v="0.5"/>
    <n v="0"/>
    <n v="9.9166666660000011"/>
    <n v="5.3411137148053709E-3"/>
    <x v="16"/>
    <m/>
    <n v="39000.072668560068"/>
    <n v="2070.8003188312105"/>
    <n v="0"/>
    <s v="DOH1001"/>
    <s v="00000"/>
    <m/>
    <n v="5.4569999999999999"/>
    <n v="0.5"/>
    <n v="0"/>
    <n v="5.9569999999999999"/>
    <n v="3.2216194171773636E-3"/>
    <n v="24772.871157907281"/>
    <n v="-16298.001829483994"/>
    <m/>
    <n v="22693.563523367473"/>
    <n v="2079.3076345398085"/>
    <n v="0"/>
    <s v="DOH1001"/>
    <s v="00000"/>
  </r>
  <r>
    <x v="2"/>
    <x v="16"/>
    <n v="15.531721574999999"/>
    <n v="10.344827170999999"/>
    <n v="3.2357142860000003"/>
    <n v="29.112263031999998"/>
    <n v="1.5679856204338469E-2"/>
    <x v="17"/>
    <m/>
    <n v="64326.187979015172"/>
    <n v="42844.142807921133"/>
    <n v="13401.036350191005"/>
    <s v="HSV1001"/>
    <s v="00000"/>
    <m/>
    <n v="9.9726250000000043"/>
    <n v="11.101914651"/>
    <n v="3.2"/>
    <n v="24.274539651000001"/>
    <n v="1.3127971845342191E-2"/>
    <n v="100948.47124252722"/>
    <n v="-19622.895894600093"/>
    <m/>
    <n v="41472.310597805139"/>
    <n v="46168.591783667311"/>
    <n v="13307.568861054777"/>
    <s v="HSV1001"/>
    <s v="00000"/>
  </r>
  <r>
    <x v="2"/>
    <x v="17"/>
    <n v="59.699857724999994"/>
    <n v="24.556037441999997"/>
    <n v="7.2178571429999998"/>
    <n v="91.473752309999995"/>
    <n v="4.926773576878947E-2"/>
    <x v="18"/>
    <m/>
    <n v="247252.96882221577"/>
    <n v="101701.30032824946"/>
    <n v="29893.481746005054"/>
    <s v="MED1001"/>
    <s v="00000"/>
    <m/>
    <n v="43.399249999999995"/>
    <n v="24.247093777"/>
    <n v="7.2871212100000005"/>
    <n v="74.933464986999994"/>
    <n v="4.0524946415729284E-2"/>
    <n v="311619.45165998116"/>
    <n v="-67228.299236489111"/>
    <m/>
    <n v="180480.78371660362"/>
    <n v="100834.33441183761"/>
    <n v="30304.333531539949"/>
    <s v="MED1001"/>
    <s v="00000"/>
  </r>
  <r>
    <x v="2"/>
    <x v="18"/>
    <n v="32.852708843000009"/>
    <n v="5.0790260840000006"/>
    <n v="1.3749999659999979"/>
    <n v="39.306734893000005"/>
    <n v="2.1170595714487549E-2"/>
    <x v="19"/>
    <m/>
    <n v="136062.79989310668"/>
    <n v="21035.297668198469"/>
    <n v="5694.7007359713971"/>
    <s v="MSC1001"/>
    <s v="00000"/>
    <m/>
    <n v="20.837700000000002"/>
    <n v="5.0354727710000002"/>
    <n v="1.3749999659999979"/>
    <n v="27.248172736999997"/>
    <n v="1.473614946653048E-2"/>
    <n v="113314.66719860716"/>
    <n v="-49478.131098669357"/>
    <m/>
    <n v="86655.977392500368"/>
    <n v="20940.593952515257"/>
    <n v="5718.095853591547"/>
    <s v="MSC1001"/>
    <s v="00000"/>
  </r>
  <r>
    <x v="2"/>
    <x v="19"/>
    <n v="66.111091959999996"/>
    <n v="23.566832531999992"/>
    <n v="0.64285714299999996"/>
    <n v="90.320781634999989"/>
    <n v="4.8646746106393676E-2"/>
    <x v="20"/>
    <m/>
    <n v="273805.74061809492"/>
    <n v="97604.40864221465"/>
    <n v="2662.457553374642"/>
    <s v="NRS1001"/>
    <s v="00000"/>
    <m/>
    <n v="84.675249999999934"/>
    <n v="23.892980675"/>
    <n v="0.5"/>
    <n v="109.06823067499994"/>
    <n v="5.8985450686546849E-2"/>
    <n v="453572.80945655273"/>
    <n v="79500.202642868564"/>
    <m/>
    <n v="352131.78756313364"/>
    <n v="99361.714258879249"/>
    <n v="2079.307634539809"/>
    <s v="NRS1001"/>
    <s v="00000"/>
  </r>
  <r>
    <x v="2"/>
    <x v="20"/>
    <n v="6.9030061079999987"/>
    <n v="0.34599999999999997"/>
    <n v="0"/>
    <n v="7.2490061079999988"/>
    <n v="3.9043125322436542E-3"/>
    <x v="21"/>
    <m/>
    <n v="28589.494498680382"/>
    <n v="1432.9938206311974"/>
    <n v="0"/>
    <s v="PHM1001"/>
    <s v="00000"/>
    <m/>
    <n v="4.8100000000000005"/>
    <n v="0.35"/>
    <n v="0"/>
    <n v="5.16"/>
    <n v="2.7905919410164846E-3"/>
    <n v="21458.454788450832"/>
    <n v="-8564.0335308607428"/>
    <m/>
    <n v="20002.939444272968"/>
    <n v="1455.5153441778664"/>
    <n v="0"/>
    <s v="PHM1001"/>
    <s v="00000"/>
  </r>
  <r>
    <x v="2"/>
    <x v="21"/>
    <n v="20.564919120999999"/>
    <n v="9.7452118100000025"/>
    <n v="0.45"/>
    <n v="30.760130931000003"/>
    <n v="1.6567397364284163E-2"/>
    <x v="22"/>
    <m/>
    <n v="85171.682145009705"/>
    <n v="40360.775446451364"/>
    <n v="1863.7202869480893"/>
    <s v="PSY1001"/>
    <s v="00000"/>
    <m/>
    <n v="13.827294999999996"/>
    <n v="9.698957117000008"/>
    <n v="2.7079787230000001"/>
    <n v="26.234230840000006"/>
    <n v="1.4187797124199639E-2"/>
    <n v="109098.07294378344"/>
    <n v="-18298.10493462572"/>
    <m/>
    <n v="57502.400117068239"/>
    <n v="40334.231160904666"/>
    <n v="11261.441665810526"/>
    <s v="PSY1001"/>
    <s v="00000"/>
  </r>
  <r>
    <x v="2"/>
    <x v="7"/>
    <n v="234.826031349"/>
    <n v="76.644549807999994"/>
    <n v="13.212767120999997"/>
    <n v="324.68334827799998"/>
    <n v="0.17487435474687099"/>
    <x v="23"/>
    <m/>
    <n v="972555.64117475401"/>
    <n v="317431.11635816196"/>
    <n v="54722.004733618654"/>
    <m/>
    <m/>
    <m/>
    <n v="209.78299499999991"/>
    <n v="77.287167783000001"/>
    <n v="15.320099898999999"/>
    <n v="302.39026268199996"/>
    <n v="0.16286730547996708"/>
    <n v="1257524.7636103614"/>
    <n v="-87183.998656173004"/>
    <m/>
    <n v="872406.76620025281"/>
    <n v="321407.59604630218"/>
    <n v="63710.401363806515"/>
    <m/>
    <m/>
  </r>
  <r>
    <x v="3"/>
    <x v="22"/>
    <n v="38.681489892999991"/>
    <n v="60.297693371000008"/>
    <n v="1.6913419930000002"/>
    <n v="100.67052525699999"/>
    <n v="5.4221114940803748E-2"/>
    <x v="24"/>
    <m/>
    <n v="160203.28320658125"/>
    <n v="249728.96531490673"/>
    <n v="7004.8630767140303"/>
    <s v="NSC1001"/>
    <s v="00000"/>
    <m/>
    <n v="0"/>
    <n v="0"/>
    <n v="0"/>
    <n v="0"/>
    <n v="0"/>
    <n v="0"/>
    <n v="-416937.11159820197"/>
    <m/>
    <n v="0"/>
    <n v="0"/>
    <n v="0"/>
    <s v="NSC1001"/>
    <s v="00000"/>
  </r>
  <r>
    <x v="3"/>
    <x v="23"/>
    <n v="70.811271715999993"/>
    <n v="45.510245183000009"/>
    <n v="1.0000000010000001"/>
    <n v="117.32151690000001"/>
    <n v="6.3189334083880971E-2"/>
    <x v="25"/>
    <m/>
    <n v="293272.00809267251"/>
    <n v="188485.26047008595"/>
    <n v="4141.6006418040215"/>
    <s v="ENG1001"/>
    <s v="00000"/>
    <m/>
    <n v="101.07760624999977"/>
    <n v="54.044186392999997"/>
    <n v="1.1704545450000001"/>
    <n v="156.29224718799978"/>
    <n v="8.4524784001199324E-2"/>
    <n v="649959.3255947819"/>
    <n v="164060.45639021945"/>
    <m/>
    <n v="420342.87671326654"/>
    <n v="224748.97873891471"/>
    <n v="4867.4701426006377"/>
    <s v="ENG1001"/>
    <s v="00000"/>
  </r>
  <r>
    <x v="3"/>
    <x v="24"/>
    <n v="41.145168855999955"/>
    <n v="15.029196360000007"/>
    <n v="0.94935064999999996"/>
    <n v="57.123715865999962"/>
    <n v="3.0766816363668782E-2"/>
    <x v="26"/>
    <m/>
    <n v="170406.8575707374"/>
    <n v="62244.92922812976"/>
    <n v="3931.8312574052334"/>
    <s v="ENV1001"/>
    <s v="00000"/>
    <m/>
    <n v="0"/>
    <n v="0"/>
    <n v="0"/>
    <n v="0"/>
    <n v="0"/>
    <n v="0"/>
    <n v="-236583.61805627236"/>
    <m/>
    <n v="0"/>
    <n v="0"/>
    <n v="0"/>
    <s v="ENV1001"/>
    <s v="00000"/>
  </r>
  <r>
    <x v="3"/>
    <x v="25"/>
    <n v="22.369760657999958"/>
    <n v="23.752689587000045"/>
    <n v="2.4637841440000012"/>
    <n v="48.586234389000005"/>
    <n v="2.6168531381171287E-2"/>
    <x v="27"/>
    <m/>
    <n v="92646.615005528351"/>
    <n v="98374.154339716915"/>
    <n v="10204.009981852965"/>
    <s v="ICT1001"/>
    <s v="00000"/>
    <m/>
    <n v="53.945625000000099"/>
    <n v="23.812279072000035"/>
    <n v="4.6682401479999998"/>
    <n v="82.426144220000126"/>
    <n v="4.4577080191743182E-2"/>
    <n v="342778.6219246512"/>
    <n v="141553.84259755298"/>
    <m/>
    <n v="224339.09982504358"/>
    <n v="99026.107340404371"/>
    <n v="19413.414759203293"/>
    <s v="ICT1001"/>
    <s v="00000"/>
  </r>
  <r>
    <x v="3"/>
    <x v="26"/>
    <m/>
    <m/>
    <m/>
    <m/>
    <m/>
    <x v="28"/>
    <m/>
    <m/>
    <m/>
    <m/>
    <m/>
    <m/>
    <m/>
    <n v="59.135057499999931"/>
    <n v="65.475427514000017"/>
    <n v="3.6254029630000018"/>
    <n v="128.23588797699995"/>
    <n v="6.9351557274749759E-2"/>
    <n v="533283.72178513545"/>
    <n v="533283.72178513545"/>
    <m/>
    <n v="245919.95305740091"/>
    <n v="272287.11260923621"/>
    <n v="15076.656118498298"/>
    <s v="?????"/>
    <s v="?????"/>
  </r>
  <r>
    <x v="3"/>
    <x v="7"/>
    <n v="173.00769112299992"/>
    <n v="144.58982450100007"/>
    <n v="6.1044767880000013"/>
    <n v="323.70199241199998"/>
    <n v="0.1743457967695248"/>
    <x v="29"/>
    <m/>
    <n v="716528.76387551951"/>
    <n v="598833.30935283937"/>
    <n v="25282.30495777625"/>
    <m/>
    <m/>
    <m/>
    <n v="214.1582887499998"/>
    <n v="143.33189297900003"/>
    <n v="9.4640976560000016"/>
    <n v="366.95427938499984"/>
    <n v="0.19764146565998372"/>
    <n v="1526021.6693045686"/>
    <n v="185377.29111843347"/>
    <m/>
    <n v="890601.92959571094"/>
    <n v="596062.19868855528"/>
    <n v="39357.541020302233"/>
    <m/>
    <m/>
  </r>
  <r>
    <x v="4"/>
    <x v="27"/>
    <n v="41.493887591000011"/>
    <n v="32.463445634000017"/>
    <n v="2.2731909599999995"/>
    <n v="76.230524185000021"/>
    <n v="4.105773763751374E-2"/>
    <x v="30"/>
    <m/>
    <n v="171851.11130597844"/>
    <n v="134450.62713849379"/>
    <n v="9414.6491294644475"/>
    <s v="CBN 212406"/>
    <s v="00000"/>
    <m/>
    <n v="43.125"/>
    <n v="33.239703037999995"/>
    <n v="5.6509361729999998"/>
    <n v="82.015639210999993"/>
    <n v="4.4355073996033362E-2"/>
    <n v="341071.48952618957"/>
    <n v="25355.10195225291"/>
    <m/>
    <n v="179340.2834790585"/>
    <n v="138231.13659349893"/>
    <n v="23500.069453632139"/>
    <s v="CBN 212406"/>
    <s v="00000"/>
  </r>
  <r>
    <x v="4"/>
    <x v="28"/>
    <n v="2.7491148050000001"/>
    <n v="1.6291390729999999"/>
    <n v="0"/>
    <n v="4.3782538779999998"/>
    <n v="2.35812623558901E-3"/>
    <x v="31"/>
    <m/>
    <n v="11385.735629395202"/>
    <n v="6747.2434235775645"/>
    <n v="0"/>
    <s v="GIL 214672"/>
    <s v="00000"/>
    <m/>
    <n v="1.75"/>
    <n v="1.5911302920000001"/>
    <n v="1.1704545460000002"/>
    <n v="4.5115848380000001"/>
    <n v="2.4399209864602641E-3"/>
    <n v="18761.945595054898"/>
    <n v="628.96654208213295"/>
    <m/>
    <n v="7277.576720889333"/>
    <n v="6616.898727406312"/>
    <n v="4867.470146759254"/>
    <s v="GIL 214672"/>
    <s v="00000"/>
  </r>
  <r>
    <x v="4"/>
    <x v="29"/>
    <n v="1"/>
    <n v="0"/>
    <n v="0"/>
    <n v="1"/>
    <n v="5.3859970236952307E-4"/>
    <x v="32"/>
    <m/>
    <n v="4141.6006376624209"/>
    <n v="0"/>
    <n v="0"/>
    <s v="NSC1001"/>
    <s v="00000"/>
    <m/>
    <n v="0.5"/>
    <n v="0"/>
    <n v="0"/>
    <n v="0.5"/>
    <n v="2.7040619583493068E-4"/>
    <n v="2079.307634539809"/>
    <n v="-2062.2930031226119"/>
    <m/>
    <n v="2079.307634539809"/>
    <n v="0"/>
    <n v="0"/>
    <s v="NSC1001"/>
    <s v="00000"/>
  </r>
  <r>
    <x v="4"/>
    <x v="7"/>
    <n v="45.243002396000009"/>
    <n v="34.092584707000015"/>
    <n v="2.2731909599999995"/>
    <n v="81.608778063000017"/>
    <n v="4.3954463575472273E-2"/>
    <x v="33"/>
    <m/>
    <n v="187378.44757303607"/>
    <n v="141197.87056207136"/>
    <n v="9414.6491294644475"/>
    <m/>
    <m/>
    <m/>
    <n v="45.375"/>
    <n v="34.830833329999997"/>
    <n v="6.821390719"/>
    <n v="87.027224048999997"/>
    <n v="4.6872836970837196E-2"/>
    <n v="361912.74275578425"/>
    <n v="23921.775491212436"/>
    <m/>
    <n v="188697.16783448766"/>
    <n v="144848.03532090524"/>
    <n v="28367.539600391392"/>
    <m/>
    <m/>
  </r>
  <r>
    <x v="5"/>
    <x v="30"/>
    <n v="1058.8052238860002"/>
    <n v="639.63623105299985"/>
    <n v="158.22499994500012"/>
    <n v="1856.6664548840001"/>
    <n v="0.99999999999999989"/>
    <x v="34"/>
    <m/>
    <n v="4385148.3904065611"/>
    <n v="2649117.8224010919"/>
    <n v="655304.76066634909"/>
    <n v="7689570.9734740024"/>
    <m/>
    <m/>
    <n v="1051.2209212499997"/>
    <n v="639.62413605799998"/>
    <n v="158.22499989300002"/>
    <n v="1849.0700572009998"/>
    <n v="0.99999999999999978"/>
    <n v="7689570.9734740006"/>
    <m/>
    <m/>
    <n v="4371623.3742861906"/>
    <n v="2659950.6986826574"/>
    <n v="657996.90050515078"/>
    <n v="7689570.9734739987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PivotTable2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J12:O54" firstHeaderRow="0" firstDataRow="1" firstDataCol="1"/>
  <pivotFields count="28">
    <pivotField axis="axisRow" showAll="0">
      <items count="7">
        <item x="0"/>
        <item x="1"/>
        <item x="2"/>
        <item x="4"/>
        <item x="3"/>
        <item x="5"/>
        <item t="default"/>
      </items>
    </pivotField>
    <pivotField axis="axisRow" showAll="0">
      <items count="32">
        <item x="8"/>
        <item x="14"/>
        <item x="27"/>
        <item x="0"/>
        <item x="15"/>
        <item x="1"/>
        <item x="9"/>
        <item x="23"/>
        <item x="24"/>
        <item x="26"/>
        <item x="4"/>
        <item x="10"/>
        <item x="29"/>
        <item x="16"/>
        <item x="12"/>
        <item x="25"/>
        <item x="2"/>
        <item x="28"/>
        <item x="3"/>
        <item x="17"/>
        <item x="13"/>
        <item x="18"/>
        <item x="19"/>
        <item x="22"/>
        <item x="20"/>
        <item x="21"/>
        <item x="5"/>
        <item x="6"/>
        <item x="11"/>
        <item x="7"/>
        <item x="30"/>
        <item t="default"/>
      </items>
    </pivotField>
    <pivotField showAll="0"/>
    <pivotField showAll="0"/>
    <pivotField showAll="0"/>
    <pivotField dataField="1" showAll="0"/>
    <pivotField showAll="0"/>
    <pivotField dataField="1" showAll="0">
      <items count="36">
        <item x="32"/>
        <item x="31"/>
        <item x="6"/>
        <item x="21"/>
        <item x="4"/>
        <item x="16"/>
        <item x="2"/>
        <item x="0"/>
        <item x="15"/>
        <item x="17"/>
        <item x="22"/>
        <item x="1"/>
        <item x="10"/>
        <item x="19"/>
        <item x="27"/>
        <item x="26"/>
        <item x="9"/>
        <item x="30"/>
        <item x="33"/>
        <item x="5"/>
        <item x="20"/>
        <item x="18"/>
        <item x="24"/>
        <item x="13"/>
        <item x="12"/>
        <item x="25"/>
        <item x="3"/>
        <item x="11"/>
        <item x="8"/>
        <item x="7"/>
        <item x="29"/>
        <item x="23"/>
        <item x="14"/>
        <item x="34"/>
        <item x="2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numFmtId="167" showAll="0"/>
    <pivotField dataField="1" showAll="0"/>
    <pivotField showAll="0"/>
    <pivotField showAll="0"/>
    <pivotField showAll="0"/>
    <pivotField showAll="0"/>
    <pivotField showAll="0"/>
    <pivotField showAll="0"/>
  </pivotFields>
  <rowFields count="2">
    <field x="0"/>
    <field x="1"/>
  </rowFields>
  <rowItems count="42">
    <i>
      <x/>
    </i>
    <i r="1">
      <x v="3"/>
    </i>
    <i r="1">
      <x v="5"/>
    </i>
    <i r="1">
      <x v="10"/>
    </i>
    <i r="1">
      <x v="16"/>
    </i>
    <i r="1">
      <x v="18"/>
    </i>
    <i r="1">
      <x v="26"/>
    </i>
    <i r="1">
      <x v="27"/>
    </i>
    <i r="1">
      <x v="29"/>
    </i>
    <i>
      <x v="1"/>
    </i>
    <i r="1">
      <x/>
    </i>
    <i r="1">
      <x v="6"/>
    </i>
    <i r="1">
      <x v="11"/>
    </i>
    <i r="1">
      <x v="14"/>
    </i>
    <i r="1">
      <x v="20"/>
    </i>
    <i r="1">
      <x v="28"/>
    </i>
    <i r="1">
      <x v="29"/>
    </i>
    <i>
      <x v="2"/>
    </i>
    <i r="1">
      <x v="1"/>
    </i>
    <i r="1">
      <x v="4"/>
    </i>
    <i r="1">
      <x v="13"/>
    </i>
    <i r="1">
      <x v="19"/>
    </i>
    <i r="1">
      <x v="21"/>
    </i>
    <i r="1">
      <x v="22"/>
    </i>
    <i r="1">
      <x v="24"/>
    </i>
    <i r="1">
      <x v="25"/>
    </i>
    <i r="1">
      <x v="29"/>
    </i>
    <i>
      <x v="3"/>
    </i>
    <i r="1">
      <x v="2"/>
    </i>
    <i r="1">
      <x v="12"/>
    </i>
    <i r="1">
      <x v="17"/>
    </i>
    <i r="1">
      <x v="29"/>
    </i>
    <i>
      <x v="4"/>
    </i>
    <i r="1">
      <x v="7"/>
    </i>
    <i r="1">
      <x v="8"/>
    </i>
    <i r="1">
      <x v="9"/>
    </i>
    <i r="1">
      <x v="15"/>
    </i>
    <i r="1">
      <x v="23"/>
    </i>
    <i r="1">
      <x v="29"/>
    </i>
    <i>
      <x v="5"/>
    </i>
    <i r="1">
      <x v="30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Budget EFTSL" fld="5" baseField="0" baseItem="0" numFmtId="3"/>
    <dataField name="2018 Budget" fld="7" baseField="0" baseItem="0" numFmtId="175"/>
    <dataField name="Forecast EFTSL" fld="18" baseField="1" baseItem="3" numFmtId="3"/>
    <dataField name="2018 Forecast" fld="20" baseField="1" baseItem="3" numFmtId="175"/>
    <dataField name="Forecast to Budget Var" fld="21" baseField="1" baseItem="3" numFmtId="175"/>
  </dataFields>
  <formats count="3">
    <format dxfId="2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1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0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2:M114" totalsRowShown="0" headerRowDxfId="12" dataDxfId="11" dataCellStyle="Comma">
  <autoFilter ref="A2:M114" xr:uid="{00000000-0009-0000-0100-000001000000}"/>
  <tableColumns count="13">
    <tableColumn id="1" xr3:uid="{00000000-0010-0000-0000-000001000000}" name="Group"/>
    <tableColumn id="2" xr3:uid="{00000000-0010-0000-0000-000002000000}" name="School"/>
    <tableColumn id="3" xr3:uid="{00000000-0010-0000-0000-000003000000}" name="PG"/>
    <tableColumn id="4" xr3:uid="{00000000-0010-0000-0000-000004000000}" name="UG"/>
    <tableColumn id="5" xr3:uid="{00000000-0010-0000-0000-000005000000}" name="On Campus" dataDxfId="10"/>
    <tableColumn id="6" xr3:uid="{00000000-0010-0000-0000-000006000000}" name="Online"/>
    <tableColumn id="7" xr3:uid="{00000000-0010-0000-0000-000007000000}" name="Non-Sal School per EFTSL" dataDxfId="9" dataCellStyle="Comma"/>
    <tableColumn id="8" xr3:uid="{00000000-0010-0000-0000-000008000000}" name="Non-Sal Group per EFTSL" dataDxfId="8" dataCellStyle="Comma"/>
    <tableColumn id="9" xr3:uid="{00000000-0010-0000-0000-000009000000}" name="Central cost per EFTSL" dataDxfId="7" dataCellStyle="Comma"/>
    <tableColumn id="10" xr3:uid="{00000000-0010-0000-0000-00000A000000}" name="Casual School per EFTSL" dataDxfId="6" dataCellStyle="Comma"/>
    <tableColumn id="11" xr3:uid="{00000000-0010-0000-0000-00000B000000}" name="Casual Group per EFTSL" dataDxfId="5" dataCellStyle="Comma"/>
    <tableColumn id="12" xr3:uid="{00000000-0010-0000-0000-00000C000000}" name="General School per EFTSL" dataDxfId="4" dataCellStyle="Comma"/>
    <tableColumn id="13" xr3:uid="{00000000-0010-0000-0000-00000D000000}" name="General  Group per EFTSL" dataDxfId="3" dataCellStyle="Comma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I191"/>
  <sheetViews>
    <sheetView showGridLines="0" tabSelected="1" topLeftCell="A28" zoomScaleNormal="100" zoomScaleSheetLayoutView="70" workbookViewId="0">
      <selection activeCell="G61" sqref="G61"/>
    </sheetView>
  </sheetViews>
  <sheetFormatPr defaultColWidth="9.109375" defaultRowHeight="14.4" zeroHeight="1" outlineLevelRow="1" outlineLevelCol="1"/>
  <cols>
    <col min="1" max="1" width="61.88671875" customWidth="1"/>
    <col min="2" max="2" width="17.33203125" customWidth="1"/>
    <col min="3" max="7" width="17.33203125" customWidth="1" outlineLevel="1"/>
    <col min="8" max="8" width="9.109375" customWidth="1"/>
    <col min="9" max="19" width="19.109375" customWidth="1"/>
  </cols>
  <sheetData>
    <row r="1" spans="1:9" ht="27" customHeight="1">
      <c r="A1" s="228" t="s">
        <v>0</v>
      </c>
      <c r="B1" s="229"/>
      <c r="C1" s="229"/>
      <c r="D1" s="229"/>
      <c r="E1" s="229"/>
      <c r="F1" s="229"/>
      <c r="G1" s="230"/>
    </row>
    <row r="2" spans="1:9" ht="27" customHeight="1" thickBot="1">
      <c r="A2" s="231"/>
      <c r="B2" s="232"/>
      <c r="C2" s="232"/>
      <c r="D2" s="232"/>
      <c r="E2" s="232"/>
      <c r="F2" s="232"/>
      <c r="G2" s="233"/>
    </row>
    <row r="3" spans="1:9" ht="15" thickBot="1">
      <c r="A3" s="1"/>
      <c r="B3" s="2"/>
      <c r="C3" s="3"/>
      <c r="D3" s="3"/>
      <c r="E3" s="3"/>
      <c r="F3" s="3"/>
      <c r="G3" s="106"/>
    </row>
    <row r="4" spans="1:9" ht="29.25" customHeight="1" thickBot="1">
      <c r="A4" s="134"/>
      <c r="B4" s="135">
        <v>2024</v>
      </c>
      <c r="C4" s="136">
        <f>B4+1</f>
        <v>2025</v>
      </c>
      <c r="D4" s="136">
        <f>C4+1</f>
        <v>2026</v>
      </c>
      <c r="E4" s="136">
        <f>D4+1</f>
        <v>2027</v>
      </c>
      <c r="F4" s="136">
        <f>E4+1</f>
        <v>2028</v>
      </c>
      <c r="G4" s="137">
        <f>F4+1</f>
        <v>2029</v>
      </c>
    </row>
    <row r="5" spans="1:9" ht="62.25" customHeight="1">
      <c r="A5" s="225"/>
      <c r="B5" s="226"/>
      <c r="C5" s="226"/>
      <c r="D5" s="226"/>
      <c r="E5" s="226"/>
      <c r="F5" s="226"/>
      <c r="G5" s="227"/>
      <c r="I5" s="7" t="s">
        <v>1</v>
      </c>
    </row>
    <row r="6" spans="1:9" outlineLevel="1">
      <c r="A6" s="4" t="s">
        <v>2</v>
      </c>
      <c r="B6" s="220">
        <v>0</v>
      </c>
      <c r="C6" s="220">
        <v>0</v>
      </c>
      <c r="D6" s="220">
        <v>0</v>
      </c>
      <c r="E6" s="220">
        <v>0</v>
      </c>
      <c r="F6" s="220">
        <v>0</v>
      </c>
      <c r="G6" s="220">
        <v>0</v>
      </c>
      <c r="I6" t="s">
        <v>3</v>
      </c>
    </row>
    <row r="7" spans="1:9">
      <c r="A7" s="4" t="s">
        <v>4</v>
      </c>
      <c r="B7" s="220">
        <v>0</v>
      </c>
      <c r="C7" s="220">
        <v>0</v>
      </c>
      <c r="D7" s="220">
        <v>0</v>
      </c>
      <c r="E7" s="220">
        <v>0</v>
      </c>
      <c r="F7" s="220">
        <v>0</v>
      </c>
      <c r="G7" s="220">
        <v>0</v>
      </c>
      <c r="I7" t="s">
        <v>5</v>
      </c>
    </row>
    <row r="8" spans="1:9">
      <c r="A8" s="4" t="s">
        <v>6</v>
      </c>
      <c r="B8" s="220">
        <v>1</v>
      </c>
      <c r="C8" s="220">
        <v>0</v>
      </c>
      <c r="D8" s="220">
        <v>0</v>
      </c>
      <c r="E8" s="220">
        <v>0</v>
      </c>
      <c r="F8" s="220">
        <v>0</v>
      </c>
      <c r="G8" s="220">
        <v>0</v>
      </c>
      <c r="I8" t="s">
        <v>7</v>
      </c>
    </row>
    <row r="9" spans="1:9">
      <c r="A9" s="4" t="s">
        <v>8</v>
      </c>
      <c r="B9" s="224">
        <f>B7*B8</f>
        <v>0</v>
      </c>
      <c r="C9" s="224">
        <f t="shared" ref="C9:G9" si="0">C7*C8</f>
        <v>0</v>
      </c>
      <c r="D9" s="224">
        <f t="shared" si="0"/>
        <v>0</v>
      </c>
      <c r="E9" s="224">
        <f t="shared" si="0"/>
        <v>0</v>
      </c>
      <c r="F9" s="224">
        <f t="shared" si="0"/>
        <v>0</v>
      </c>
      <c r="G9" s="224">
        <f t="shared" si="0"/>
        <v>0</v>
      </c>
      <c r="I9" t="s">
        <v>9</v>
      </c>
    </row>
    <row r="10" spans="1:9">
      <c r="A10" s="4" t="s">
        <v>10</v>
      </c>
      <c r="B10" s="224">
        <v>0</v>
      </c>
      <c r="C10" s="224">
        <v>0</v>
      </c>
      <c r="D10" s="224">
        <f>C10*1.03</f>
        <v>0</v>
      </c>
      <c r="E10" s="224">
        <f>D10*1.02</f>
        <v>0</v>
      </c>
      <c r="F10" s="224">
        <f>E10*1.02</f>
        <v>0</v>
      </c>
      <c r="G10" s="224">
        <f>F10*1.02</f>
        <v>0</v>
      </c>
      <c r="I10" t="s">
        <v>11</v>
      </c>
    </row>
    <row r="11" spans="1:9" outlineLevel="1">
      <c r="A11" s="4" t="s">
        <v>12</v>
      </c>
      <c r="B11" s="221">
        <v>0</v>
      </c>
      <c r="C11" s="221">
        <v>0</v>
      </c>
      <c r="D11" s="221">
        <v>0</v>
      </c>
      <c r="E11" s="221">
        <v>0</v>
      </c>
      <c r="F11" s="221">
        <v>0</v>
      </c>
      <c r="G11" s="221">
        <v>0</v>
      </c>
      <c r="I11" t="s">
        <v>13</v>
      </c>
    </row>
    <row r="12" spans="1:9" outlineLevel="1">
      <c r="A12" s="4" t="s">
        <v>12</v>
      </c>
      <c r="B12" s="224">
        <f>B9*B11</f>
        <v>0</v>
      </c>
      <c r="C12" s="224">
        <f>C9*C11</f>
        <v>0</v>
      </c>
      <c r="D12" s="224">
        <f>D9*D11</f>
        <v>0</v>
      </c>
      <c r="E12" s="224">
        <f t="shared" ref="E12:G12" si="1">E9*E11</f>
        <v>0</v>
      </c>
      <c r="F12" s="224">
        <f t="shared" si="1"/>
        <v>0</v>
      </c>
      <c r="G12" s="224">
        <f t="shared" si="1"/>
        <v>0</v>
      </c>
    </row>
    <row r="13" spans="1:9" outlineLevel="1">
      <c r="A13" s="4" t="s">
        <v>14</v>
      </c>
      <c r="B13" s="123">
        <f>B12*'Salary Calc'!D101</f>
        <v>0</v>
      </c>
      <c r="C13" s="123">
        <f>B13*1.02</f>
        <v>0</v>
      </c>
      <c r="D13" s="123">
        <f t="shared" ref="D13:F13" si="2">C13*1.02</f>
        <v>0</v>
      </c>
      <c r="E13" s="123">
        <f t="shared" si="2"/>
        <v>0</v>
      </c>
      <c r="F13" s="123">
        <f t="shared" si="2"/>
        <v>0</v>
      </c>
      <c r="G13" s="123">
        <f>F13*1.02</f>
        <v>0</v>
      </c>
      <c r="I13" t="s">
        <v>513</v>
      </c>
    </row>
    <row r="14" spans="1:9" s="6" customFormat="1">
      <c r="A14" s="5" t="s">
        <v>15</v>
      </c>
      <c r="B14" s="124">
        <f>B6+(B9*B10)+B13</f>
        <v>0</v>
      </c>
      <c r="C14" s="124">
        <f t="shared" ref="C14:G14" si="3">C6+(C9*C10)+C13</f>
        <v>0</v>
      </c>
      <c r="D14" s="124">
        <f t="shared" si="3"/>
        <v>0</v>
      </c>
      <c r="E14" s="124">
        <f t="shared" si="3"/>
        <v>0</v>
      </c>
      <c r="F14" s="124">
        <f t="shared" si="3"/>
        <v>0</v>
      </c>
      <c r="G14" s="124">
        <f t="shared" si="3"/>
        <v>0</v>
      </c>
      <c r="I14" t="s">
        <v>16</v>
      </c>
    </row>
    <row r="15" spans="1:9" s="6" customFormat="1">
      <c r="A15" s="217"/>
      <c r="B15" s="218"/>
      <c r="C15" s="218"/>
      <c r="D15" s="218"/>
      <c r="E15" s="218"/>
      <c r="F15" s="218"/>
      <c r="G15" s="219"/>
      <c r="I15"/>
    </row>
    <row r="16" spans="1:9">
      <c r="A16" s="4" t="s">
        <v>511</v>
      </c>
      <c r="B16" s="155">
        <f>B14*0.15</f>
        <v>0</v>
      </c>
      <c r="C16" s="123">
        <f>C14*1.05</f>
        <v>0</v>
      </c>
      <c r="D16" s="123">
        <f t="shared" ref="D16" si="4">C16*1.05</f>
        <v>0</v>
      </c>
      <c r="E16" s="123">
        <f t="shared" ref="E16" si="5">D16*1.05</f>
        <v>0</v>
      </c>
      <c r="F16" s="123">
        <f t="shared" ref="F16" si="6">E16*1.05</f>
        <v>0</v>
      </c>
      <c r="G16" s="123">
        <f t="shared" ref="G16" si="7">F16*1.05</f>
        <v>0</v>
      </c>
    </row>
    <row r="17" spans="1:9" s="6" customFormat="1">
      <c r="A17" s="5" t="s">
        <v>510</v>
      </c>
      <c r="B17" s="124">
        <f>B14-B16</f>
        <v>0</v>
      </c>
      <c r="C17" s="124">
        <f t="shared" ref="C17:G17" si="8">C14-C16</f>
        <v>0</v>
      </c>
      <c r="D17" s="124">
        <f t="shared" si="8"/>
        <v>0</v>
      </c>
      <c r="E17" s="124">
        <f t="shared" si="8"/>
        <v>0</v>
      </c>
      <c r="F17" s="124">
        <f t="shared" si="8"/>
        <v>0</v>
      </c>
      <c r="G17" s="124">
        <f t="shared" si="8"/>
        <v>0</v>
      </c>
      <c r="I17" t="s">
        <v>16</v>
      </c>
    </row>
    <row r="18" spans="1:9" ht="11.25" customHeight="1">
      <c r="A18" s="1"/>
      <c r="B18" s="2"/>
      <c r="C18" s="3"/>
      <c r="D18" s="3"/>
      <c r="E18" s="3"/>
      <c r="F18" s="3"/>
      <c r="G18" s="106"/>
      <c r="I18" t="s">
        <v>17</v>
      </c>
    </row>
    <row r="19" spans="1:9">
      <c r="A19" s="5" t="s">
        <v>18</v>
      </c>
      <c r="B19" s="124"/>
      <c r="C19" s="124"/>
      <c r="D19" s="124"/>
      <c r="E19" s="124"/>
      <c r="F19" s="124"/>
      <c r="G19" s="124"/>
    </row>
    <row r="20" spans="1:9" outlineLevel="1">
      <c r="A20" s="141" t="s">
        <v>19</v>
      </c>
      <c r="B20" s="215">
        <v>0</v>
      </c>
      <c r="C20" s="215">
        <f>'Salary Calc'!F21</f>
        <v>0</v>
      </c>
      <c r="D20" s="215">
        <f>'Salary Calc'!H21</f>
        <v>0</v>
      </c>
      <c r="E20" s="215">
        <f>'Salary Calc'!J21</f>
        <v>0</v>
      </c>
      <c r="F20" s="215">
        <f>'Salary Calc'!L21</f>
        <v>0</v>
      </c>
      <c r="G20" s="215">
        <f>'Salary Calc'!N21</f>
        <v>0</v>
      </c>
      <c r="I20" t="s">
        <v>20</v>
      </c>
    </row>
    <row r="21" spans="1:9" outlineLevel="1">
      <c r="A21" s="151"/>
      <c r="B21" s="152"/>
      <c r="C21" s="152"/>
      <c r="D21" s="152"/>
      <c r="E21" s="152"/>
      <c r="F21" s="152"/>
      <c r="G21" s="152"/>
    </row>
    <row r="22" spans="1:9" outlineLevel="1">
      <c r="A22" s="142" t="s">
        <v>21</v>
      </c>
      <c r="B22" s="216">
        <f>'Salary Calc'!D28</f>
        <v>0</v>
      </c>
      <c r="C22" s="216">
        <f>'Salary Calc'!F28</f>
        <v>0</v>
      </c>
      <c r="D22" s="216">
        <f>'Salary Calc'!H28</f>
        <v>0</v>
      </c>
      <c r="E22" s="216">
        <f>'Salary Calc'!J28</f>
        <v>0</v>
      </c>
      <c r="F22" s="216">
        <f>'Salary Calc'!L28</f>
        <v>0</v>
      </c>
      <c r="G22" s="216">
        <f>'Salary Calc'!N28</f>
        <v>0</v>
      </c>
      <c r="I22" t="s">
        <v>20</v>
      </c>
    </row>
    <row r="23" spans="1:9" outlineLevel="1">
      <c r="A23" s="142" t="s">
        <v>22</v>
      </c>
      <c r="B23" s="222"/>
      <c r="C23" s="222"/>
      <c r="D23" s="222"/>
      <c r="E23" s="222"/>
      <c r="F23" s="222"/>
      <c r="G23" s="222"/>
      <c r="I23" t="s">
        <v>23</v>
      </c>
    </row>
    <row r="24" spans="1:9" outlineLevel="1">
      <c r="A24" s="142"/>
      <c r="B24" s="144"/>
      <c r="C24" s="144"/>
      <c r="D24" s="144"/>
      <c r="E24" s="144"/>
      <c r="F24" s="144"/>
      <c r="G24" s="144"/>
    </row>
    <row r="25" spans="1:9" outlineLevel="1">
      <c r="A25" s="145"/>
      <c r="B25" s="146"/>
      <c r="C25" s="146"/>
      <c r="D25" s="146"/>
      <c r="E25" s="146"/>
      <c r="F25" s="146"/>
      <c r="G25" s="146"/>
    </row>
    <row r="26" spans="1:9">
      <c r="A26" s="4" t="s">
        <v>24</v>
      </c>
      <c r="B26" s="125">
        <f>SUM(B20:B25)</f>
        <v>0</v>
      </c>
      <c r="C26" s="125">
        <f t="shared" ref="C26:G26" si="9">SUM(C20:C25)</f>
        <v>0</v>
      </c>
      <c r="D26" s="125">
        <f t="shared" si="9"/>
        <v>0</v>
      </c>
      <c r="E26" s="125">
        <f>SUM(E20:E25)</f>
        <v>0</v>
      </c>
      <c r="F26" s="125">
        <f t="shared" si="9"/>
        <v>0</v>
      </c>
      <c r="G26" s="125">
        <f t="shared" si="9"/>
        <v>0</v>
      </c>
    </row>
    <row r="27" spans="1:9">
      <c r="A27" s="1"/>
      <c r="B27" s="2"/>
      <c r="C27" s="3"/>
      <c r="D27" s="3"/>
      <c r="E27" s="3"/>
      <c r="F27" s="3"/>
      <c r="G27" s="106"/>
    </row>
    <row r="28" spans="1:9">
      <c r="A28" s="5" t="s">
        <v>25</v>
      </c>
      <c r="B28" s="124"/>
      <c r="C28" s="124"/>
      <c r="D28" s="124"/>
      <c r="E28" s="124"/>
      <c r="F28" s="124"/>
      <c r="G28" s="124"/>
    </row>
    <row r="29" spans="1:9" outlineLevel="1">
      <c r="A29" s="141" t="s">
        <v>19</v>
      </c>
      <c r="B29" s="215">
        <v>0</v>
      </c>
      <c r="C29" s="215">
        <f>'Salary Calc'!F43*C8</f>
        <v>0</v>
      </c>
      <c r="D29" s="215">
        <f>'Salary Calc'!H43*D8</f>
        <v>0</v>
      </c>
      <c r="E29" s="215">
        <f>'Salary Calc'!J43*E8</f>
        <v>0</v>
      </c>
      <c r="F29" s="215">
        <f>'Salary Calc'!L43*F8</f>
        <v>0</v>
      </c>
      <c r="G29" s="215">
        <f>'Salary Calc'!N43*G8</f>
        <v>0</v>
      </c>
      <c r="I29" t="s">
        <v>26</v>
      </c>
    </row>
    <row r="30" spans="1:9" outlineLevel="1">
      <c r="A30" s="142" t="s">
        <v>21</v>
      </c>
      <c r="B30" s="216">
        <f>'Salary Calc'!D50*B8</f>
        <v>0</v>
      </c>
      <c r="C30" s="216">
        <f>'Salary Calc'!F50*C8</f>
        <v>0</v>
      </c>
      <c r="D30" s="216">
        <f>'Salary Calc'!H50*D8</f>
        <v>0</v>
      </c>
      <c r="E30" s="216">
        <f>'Salary Calc'!J50*E8</f>
        <v>0</v>
      </c>
      <c r="F30" s="216">
        <f>'Salary Calc'!L50*F8</f>
        <v>0</v>
      </c>
      <c r="G30" s="216">
        <f>'Salary Calc'!N50*G8</f>
        <v>0</v>
      </c>
      <c r="I30" t="s">
        <v>26</v>
      </c>
    </row>
    <row r="31" spans="1:9" outlineLevel="1">
      <c r="A31" s="142" t="s">
        <v>27</v>
      </c>
      <c r="B31" s="222">
        <v>0</v>
      </c>
      <c r="C31" s="222">
        <f>B31*1.02</f>
        <v>0</v>
      </c>
      <c r="D31" s="222">
        <f t="shared" ref="D31:G31" si="10">C31*1.02</f>
        <v>0</v>
      </c>
      <c r="E31" s="222">
        <f t="shared" si="10"/>
        <v>0</v>
      </c>
      <c r="F31" s="222">
        <f t="shared" si="10"/>
        <v>0</v>
      </c>
      <c r="G31" s="222">
        <f t="shared" si="10"/>
        <v>0</v>
      </c>
      <c r="I31" t="s">
        <v>28</v>
      </c>
    </row>
    <row r="32" spans="1:9" outlineLevel="1">
      <c r="A32" s="147" t="s">
        <v>29</v>
      </c>
      <c r="B32" s="223">
        <v>0</v>
      </c>
      <c r="C32" s="223">
        <f>B32*1.02</f>
        <v>0</v>
      </c>
      <c r="D32" s="223">
        <f t="shared" ref="D32:G32" si="11">C32*1.02</f>
        <v>0</v>
      </c>
      <c r="E32" s="223">
        <f t="shared" si="11"/>
        <v>0</v>
      </c>
      <c r="F32" s="223">
        <f t="shared" si="11"/>
        <v>0</v>
      </c>
      <c r="G32" s="223">
        <f t="shared" si="11"/>
        <v>0</v>
      </c>
      <c r="I32" t="s">
        <v>28</v>
      </c>
    </row>
    <row r="33" spans="1:9" outlineLevel="1">
      <c r="A33" s="142" t="s">
        <v>30</v>
      </c>
      <c r="B33" s="222">
        <v>0</v>
      </c>
      <c r="C33" s="222">
        <f>B33*1.02</f>
        <v>0</v>
      </c>
      <c r="D33" s="222">
        <f t="shared" ref="D33:G33" si="12">C33*1.02</f>
        <v>0</v>
      </c>
      <c r="E33" s="222">
        <f t="shared" si="12"/>
        <v>0</v>
      </c>
      <c r="F33" s="222">
        <f t="shared" si="12"/>
        <v>0</v>
      </c>
      <c r="G33" s="222">
        <f t="shared" si="12"/>
        <v>0</v>
      </c>
      <c r="I33" t="s">
        <v>28</v>
      </c>
    </row>
    <row r="34" spans="1:9" outlineLevel="1">
      <c r="A34" s="145"/>
      <c r="B34" s="148"/>
      <c r="C34" s="148"/>
      <c r="D34" s="148"/>
      <c r="E34" s="148"/>
      <c r="F34" s="148"/>
      <c r="G34" s="148"/>
      <c r="I34" t="s">
        <v>31</v>
      </c>
    </row>
    <row r="35" spans="1:9">
      <c r="A35" s="4" t="s">
        <v>32</v>
      </c>
      <c r="B35" s="125">
        <f>SUM(B29:B34)</f>
        <v>0</v>
      </c>
      <c r="C35" s="125">
        <f t="shared" ref="C35:G35" si="13">SUM(C29:C34)</f>
        <v>0</v>
      </c>
      <c r="D35" s="125">
        <f t="shared" si="13"/>
        <v>0</v>
      </c>
      <c r="E35" s="125">
        <f>SUM(E29:E34)</f>
        <v>0</v>
      </c>
      <c r="F35" s="125">
        <f t="shared" si="13"/>
        <v>0</v>
      </c>
      <c r="G35" s="125">
        <f t="shared" si="13"/>
        <v>0</v>
      </c>
    </row>
    <row r="36" spans="1:9">
      <c r="A36" s="1"/>
      <c r="B36" s="2"/>
      <c r="C36" s="3"/>
      <c r="D36" s="3"/>
      <c r="E36" s="3"/>
      <c r="F36" s="3"/>
      <c r="G36" s="106"/>
    </row>
    <row r="37" spans="1:9">
      <c r="A37" s="5" t="s">
        <v>33</v>
      </c>
      <c r="B37" s="124"/>
      <c r="C37" s="124"/>
      <c r="D37" s="124"/>
      <c r="E37" s="124"/>
      <c r="F37" s="124"/>
      <c r="G37" s="124"/>
    </row>
    <row r="38" spans="1:9" outlineLevel="1">
      <c r="A38" s="141" t="s">
        <v>19</v>
      </c>
      <c r="B38" s="215">
        <v>0</v>
      </c>
      <c r="C38" s="215">
        <f>'Salary Calc'!F65*C8</f>
        <v>0</v>
      </c>
      <c r="D38" s="215">
        <f>'Salary Calc'!H65*D8</f>
        <v>0</v>
      </c>
      <c r="E38" s="215">
        <f>'Salary Calc'!J65*E8</f>
        <v>0</v>
      </c>
      <c r="F38" s="215">
        <f>'Salary Calc'!L65*F8</f>
        <v>0</v>
      </c>
      <c r="G38" s="215">
        <f>'Salary Calc'!N65*G8</f>
        <v>0</v>
      </c>
      <c r="I38" t="s">
        <v>34</v>
      </c>
    </row>
    <row r="39" spans="1:9" outlineLevel="1">
      <c r="A39" s="151"/>
      <c r="B39" s="152"/>
      <c r="C39" s="152"/>
      <c r="D39" s="152"/>
      <c r="E39" s="152"/>
      <c r="F39" s="152"/>
      <c r="G39" s="152"/>
    </row>
    <row r="40" spans="1:9" outlineLevel="1">
      <c r="A40" s="142" t="s">
        <v>21</v>
      </c>
      <c r="B40" s="216">
        <f>'Salary Calc'!D72*B8</f>
        <v>0</v>
      </c>
      <c r="C40" s="216">
        <f>'Salary Calc'!F72*C8</f>
        <v>0</v>
      </c>
      <c r="D40" s="216">
        <f>'Salary Calc'!H72*D8</f>
        <v>0</v>
      </c>
      <c r="E40" s="216">
        <f>'Salary Calc'!J72*E8</f>
        <v>0</v>
      </c>
      <c r="F40" s="216">
        <f>'Salary Calc'!L72*F8</f>
        <v>0</v>
      </c>
      <c r="G40" s="216">
        <f>'Salary Calc'!N72*G8</f>
        <v>0</v>
      </c>
      <c r="I40" t="s">
        <v>35</v>
      </c>
    </row>
    <row r="41" spans="1:9" outlineLevel="1">
      <c r="A41" s="142" t="s">
        <v>497</v>
      </c>
      <c r="B41" s="222">
        <f>55*B9</f>
        <v>0</v>
      </c>
      <c r="C41" s="222"/>
      <c r="D41" s="222"/>
      <c r="E41" s="222"/>
      <c r="F41" s="222"/>
      <c r="G41" s="222"/>
      <c r="I41" t="s">
        <v>36</v>
      </c>
    </row>
    <row r="42" spans="1:9" outlineLevel="1">
      <c r="A42" s="142"/>
      <c r="B42" s="143"/>
      <c r="C42" s="143"/>
      <c r="D42" s="143"/>
      <c r="E42" s="143"/>
      <c r="F42" s="143"/>
      <c r="G42" s="143"/>
      <c r="I42" t="s">
        <v>37</v>
      </c>
    </row>
    <row r="43" spans="1:9" outlineLevel="1">
      <c r="A43" s="142"/>
      <c r="B43" s="144"/>
      <c r="C43" s="144"/>
      <c r="D43" s="144"/>
      <c r="E43" s="144"/>
      <c r="F43" s="144"/>
      <c r="G43" s="144"/>
    </row>
    <row r="44" spans="1:9" outlineLevel="1">
      <c r="A44" s="142"/>
      <c r="B44" s="144"/>
      <c r="C44" s="144"/>
      <c r="D44" s="144"/>
      <c r="E44" s="144"/>
      <c r="F44" s="144"/>
      <c r="G44" s="144"/>
    </row>
    <row r="45" spans="1:9" outlineLevel="1">
      <c r="A45" s="145"/>
      <c r="B45" s="146"/>
      <c r="C45" s="146"/>
      <c r="D45" s="146"/>
      <c r="E45" s="146"/>
      <c r="F45" s="146"/>
      <c r="G45" s="146"/>
    </row>
    <row r="46" spans="1:9">
      <c r="A46" s="4" t="s">
        <v>38</v>
      </c>
      <c r="B46" s="125">
        <f>SUM(B38:B45)</f>
        <v>0</v>
      </c>
      <c r="C46" s="125">
        <f t="shared" ref="C46:G46" si="14">SUM(C38:C45)</f>
        <v>0</v>
      </c>
      <c r="D46" s="125">
        <f t="shared" si="14"/>
        <v>0</v>
      </c>
      <c r="E46" s="125">
        <f>SUM(E38:E45)</f>
        <v>0</v>
      </c>
      <c r="F46" s="125">
        <f t="shared" si="14"/>
        <v>0</v>
      </c>
      <c r="G46" s="125">
        <f t="shared" si="14"/>
        <v>0</v>
      </c>
    </row>
    <row r="47" spans="1:9">
      <c r="A47" s="1"/>
      <c r="B47" s="2"/>
      <c r="C47" s="3"/>
      <c r="D47" s="3"/>
      <c r="E47" s="3"/>
      <c r="F47" s="3"/>
      <c r="G47" s="106"/>
    </row>
    <row r="48" spans="1:9">
      <c r="A48" s="5" t="s">
        <v>39</v>
      </c>
      <c r="B48" s="124"/>
      <c r="C48" s="124"/>
      <c r="D48" s="124"/>
      <c r="E48" s="124"/>
      <c r="F48" s="124"/>
      <c r="G48" s="124"/>
      <c r="I48" t="s">
        <v>40</v>
      </c>
    </row>
    <row r="49" spans="1:9" outlineLevel="1">
      <c r="A49" s="141" t="s">
        <v>19</v>
      </c>
      <c r="B49" s="215">
        <v>0</v>
      </c>
      <c r="C49" s="215">
        <f>'Salary Calc'!F87*C8</f>
        <v>0</v>
      </c>
      <c r="D49" s="215">
        <f>'Salary Calc'!H87*D8</f>
        <v>0</v>
      </c>
      <c r="E49" s="215">
        <f>'Salary Calc'!J87*E8</f>
        <v>0</v>
      </c>
      <c r="F49" s="215">
        <f>'Salary Calc'!L87*F8</f>
        <v>0</v>
      </c>
      <c r="G49" s="215">
        <f>'Salary Calc'!N87*G8</f>
        <v>0</v>
      </c>
      <c r="I49" t="s">
        <v>41</v>
      </c>
    </row>
    <row r="50" spans="1:9" outlineLevel="1">
      <c r="A50" s="142" t="s">
        <v>21</v>
      </c>
      <c r="B50" s="216">
        <f>'Salary Calc'!D94*B8</f>
        <v>0</v>
      </c>
      <c r="C50" s="216">
        <f>'Salary Calc'!F94*C8</f>
        <v>0</v>
      </c>
      <c r="D50" s="216">
        <f>'Salary Calc'!H94*D8</f>
        <v>0</v>
      </c>
      <c r="E50" s="216">
        <f>'Salary Calc'!J94*E8</f>
        <v>0</v>
      </c>
      <c r="F50" s="216">
        <f>'Salary Calc'!L94*F8</f>
        <v>0</v>
      </c>
      <c r="G50" s="216">
        <f>'Salary Calc'!N94*G8</f>
        <v>0</v>
      </c>
      <c r="I50" t="s">
        <v>41</v>
      </c>
    </row>
    <row r="51" spans="1:9" outlineLevel="1">
      <c r="A51" s="142"/>
      <c r="B51" s="144"/>
      <c r="C51" s="144"/>
      <c r="D51" s="144"/>
      <c r="E51" s="144"/>
      <c r="F51" s="144"/>
      <c r="G51" s="144"/>
      <c r="I51" t="s">
        <v>42</v>
      </c>
    </row>
    <row r="52" spans="1:9" outlineLevel="1">
      <c r="A52" s="142"/>
      <c r="B52" s="143"/>
      <c r="C52" s="143"/>
      <c r="D52" s="143"/>
      <c r="E52" s="143"/>
      <c r="F52" s="143"/>
      <c r="G52" s="143"/>
    </row>
    <row r="53" spans="1:9" outlineLevel="1">
      <c r="A53" s="142"/>
      <c r="B53" s="144"/>
      <c r="C53" s="144"/>
      <c r="D53" s="144"/>
      <c r="E53" s="144"/>
      <c r="F53" s="144"/>
      <c r="G53" s="144"/>
    </row>
    <row r="54" spans="1:9" outlineLevel="1">
      <c r="A54" s="142"/>
      <c r="B54" s="144"/>
      <c r="C54" s="144"/>
      <c r="D54" s="144"/>
      <c r="E54" s="144"/>
      <c r="F54" s="144"/>
      <c r="G54" s="144"/>
    </row>
    <row r="55" spans="1:9" outlineLevel="1">
      <c r="A55" s="145"/>
      <c r="B55" s="146"/>
      <c r="C55" s="146"/>
      <c r="D55" s="146"/>
      <c r="E55" s="146"/>
      <c r="F55" s="146"/>
      <c r="G55" s="146"/>
    </row>
    <row r="56" spans="1:9">
      <c r="A56" s="4" t="s">
        <v>43</v>
      </c>
      <c r="B56" s="125">
        <f>SUM(B49:B55)</f>
        <v>0</v>
      </c>
      <c r="C56" s="125">
        <f t="shared" ref="C56:G56" si="15">SUM(C49:C55)</f>
        <v>0</v>
      </c>
      <c r="D56" s="125">
        <f t="shared" si="15"/>
        <v>0</v>
      </c>
      <c r="E56" s="125">
        <f t="shared" si="15"/>
        <v>0</v>
      </c>
      <c r="F56" s="125">
        <f t="shared" si="15"/>
        <v>0</v>
      </c>
      <c r="G56" s="125">
        <f t="shared" si="15"/>
        <v>0</v>
      </c>
    </row>
    <row r="57" spans="1:9">
      <c r="A57" s="1"/>
      <c r="B57" s="2"/>
      <c r="C57" s="3"/>
      <c r="D57" s="3"/>
      <c r="E57" s="3"/>
      <c r="F57" s="3"/>
      <c r="G57" s="106"/>
    </row>
    <row r="58" spans="1:9">
      <c r="A58" s="4" t="s">
        <v>44</v>
      </c>
      <c r="B58" s="125">
        <f>B56+B46+B35+B26</f>
        <v>0</v>
      </c>
      <c r="C58" s="125">
        <f t="shared" ref="C58:G58" si="16">C56+C46+C35+C26</f>
        <v>0</v>
      </c>
      <c r="D58" s="125">
        <f t="shared" si="16"/>
        <v>0</v>
      </c>
      <c r="E58" s="125">
        <f t="shared" si="16"/>
        <v>0</v>
      </c>
      <c r="F58" s="125">
        <f t="shared" si="16"/>
        <v>0</v>
      </c>
      <c r="G58" s="125">
        <f t="shared" si="16"/>
        <v>0</v>
      </c>
      <c r="I58" t="s">
        <v>45</v>
      </c>
    </row>
    <row r="59" spans="1:9">
      <c r="A59" s="1"/>
      <c r="B59" s="2"/>
      <c r="C59" s="3"/>
      <c r="D59" s="3"/>
      <c r="E59" s="3"/>
      <c r="F59" s="3"/>
      <c r="G59" s="106"/>
    </row>
    <row r="60" spans="1:9">
      <c r="A60" s="5" t="s">
        <v>46</v>
      </c>
      <c r="B60" s="124">
        <f t="shared" ref="B60:G60" si="17">B17-B58</f>
        <v>0</v>
      </c>
      <c r="C60" s="124">
        <f t="shared" si="17"/>
        <v>0</v>
      </c>
      <c r="D60" s="124">
        <f t="shared" si="17"/>
        <v>0</v>
      </c>
      <c r="E60" s="124">
        <f t="shared" si="17"/>
        <v>0</v>
      </c>
      <c r="F60" s="124">
        <f t="shared" si="17"/>
        <v>0</v>
      </c>
      <c r="G60" s="124">
        <f t="shared" si="17"/>
        <v>0</v>
      </c>
      <c r="I60" t="s">
        <v>47</v>
      </c>
    </row>
    <row r="61" spans="1:9">
      <c r="A61" s="111" t="s">
        <v>48</v>
      </c>
      <c r="B61" s="109">
        <v>0</v>
      </c>
      <c r="C61" s="109">
        <v>0</v>
      </c>
      <c r="D61" s="109">
        <v>0</v>
      </c>
      <c r="E61" s="109">
        <v>0</v>
      </c>
      <c r="F61" s="109">
        <v>0</v>
      </c>
      <c r="G61" s="109">
        <v>0</v>
      </c>
      <c r="I61" t="s">
        <v>47</v>
      </c>
    </row>
    <row r="62" spans="1:9">
      <c r="A62" s="113"/>
      <c r="B62" s="112"/>
      <c r="C62" s="112"/>
      <c r="D62" s="112"/>
      <c r="E62" s="112"/>
      <c r="F62" s="112"/>
      <c r="G62" s="114"/>
    </row>
    <row r="63" spans="1:9">
      <c r="A63" s="14"/>
      <c r="G63" s="107"/>
    </row>
    <row r="64" spans="1:9">
      <c r="A64" s="14"/>
      <c r="G64" s="107"/>
    </row>
    <row r="65" spans="1:7">
      <c r="A65" s="14" t="s">
        <v>49</v>
      </c>
      <c r="B65" s="110">
        <f t="shared" ref="B65:G65" si="18">B14</f>
        <v>0</v>
      </c>
      <c r="C65" s="110">
        <f t="shared" si="18"/>
        <v>0</v>
      </c>
      <c r="D65" s="110">
        <f t="shared" si="18"/>
        <v>0</v>
      </c>
      <c r="E65" s="110">
        <f t="shared" si="18"/>
        <v>0</v>
      </c>
      <c r="F65" s="110">
        <f t="shared" si="18"/>
        <v>0</v>
      </c>
      <c r="G65" s="108">
        <f t="shared" si="18"/>
        <v>0</v>
      </c>
    </row>
    <row r="66" spans="1:7">
      <c r="A66" s="14" t="s">
        <v>50</v>
      </c>
      <c r="B66" s="110" t="e">
        <f>#REF!+B20+B22+B23</f>
        <v>#REF!</v>
      </c>
      <c r="C66" s="110" t="e">
        <f>#REF!+C20+C22+C23</f>
        <v>#REF!</v>
      </c>
      <c r="D66" s="110" t="e">
        <f>#REF!+D20+D22+D23</f>
        <v>#REF!</v>
      </c>
      <c r="E66" s="110" t="e">
        <f>#REF!+E20+E22+E23</f>
        <v>#REF!</v>
      </c>
      <c r="F66" s="110" t="e">
        <f>#REF!+F20+F22+F23</f>
        <v>#REF!</v>
      </c>
      <c r="G66" s="108" t="e">
        <f>#REF!+G20+G22+G23</f>
        <v>#REF!</v>
      </c>
    </row>
    <row r="67" spans="1:7">
      <c r="A67" s="14" t="s">
        <v>51</v>
      </c>
      <c r="B67" s="110" t="e">
        <f>B24+B25+#REF!+#REF!</f>
        <v>#REF!</v>
      </c>
      <c r="C67" s="110" t="e">
        <f>C24+C25+#REF!+#REF!</f>
        <v>#REF!</v>
      </c>
      <c r="D67" s="110" t="e">
        <f>D24+D25+#REF!+#REF!</f>
        <v>#REF!</v>
      </c>
      <c r="E67" s="110" t="e">
        <f>E24+E25+#REF!+#REF!</f>
        <v>#REF!</v>
      </c>
      <c r="F67" s="110" t="e">
        <f>F24+F25+#REF!+#REF!</f>
        <v>#REF!</v>
      </c>
      <c r="G67" s="108" t="e">
        <f>G24+G25+#REF!+#REF!</f>
        <v>#REF!</v>
      </c>
    </row>
    <row r="68" spans="1:7">
      <c r="A68" s="14" t="s">
        <v>49</v>
      </c>
      <c r="B68" s="110" t="e">
        <f t="shared" ref="B68:G68" si="19">B65-B66-B67</f>
        <v>#REF!</v>
      </c>
      <c r="C68" s="110" t="e">
        <f t="shared" si="19"/>
        <v>#REF!</v>
      </c>
      <c r="D68" s="110" t="e">
        <f t="shared" si="19"/>
        <v>#REF!</v>
      </c>
      <c r="E68" s="110" t="e">
        <f t="shared" si="19"/>
        <v>#REF!</v>
      </c>
      <c r="F68" s="110" t="e">
        <f t="shared" si="19"/>
        <v>#REF!</v>
      </c>
      <c r="G68" s="108" t="e">
        <f t="shared" si="19"/>
        <v>#REF!</v>
      </c>
    </row>
    <row r="69" spans="1:7">
      <c r="A69" s="14"/>
      <c r="G69" s="107"/>
    </row>
    <row r="70" spans="1:7">
      <c r="A70" s="14" t="s">
        <v>52</v>
      </c>
      <c r="B70" s="121" t="e">
        <f>IF(#REF!="Intakes",#REF!,#REF!)</f>
        <v>#REF!</v>
      </c>
      <c r="C70" s="121" t="e">
        <f>IF(#REF!="Intakes",#REF!,#REF!)</f>
        <v>#REF!</v>
      </c>
      <c r="D70" s="121" t="e">
        <f>IF(#REF!="Intakes",#REF!,#REF!)</f>
        <v>#REF!</v>
      </c>
      <c r="E70" s="121" t="e">
        <f>IF(#REF!="Intakes",#REF!,#REF!)</f>
        <v>#REF!</v>
      </c>
      <c r="F70" s="121" t="e">
        <f>IF(#REF!="Intakes",#REF!,#REF!)</f>
        <v>#REF!</v>
      </c>
      <c r="G70" s="122" t="e">
        <f>IF(#REF!="Intakes",#REF!,#REF!)</f>
        <v>#REF!</v>
      </c>
    </row>
    <row r="71" spans="1:7">
      <c r="A71" s="14" t="s">
        <v>53</v>
      </c>
      <c r="B71" s="121" t="e">
        <f>IF(#REF!="Intakes",#REF!,#REF!)</f>
        <v>#REF!</v>
      </c>
      <c r="C71" s="121" t="e">
        <f>IF(#REF!="Intakes",#REF!,#REF!)</f>
        <v>#REF!</v>
      </c>
      <c r="D71" s="121" t="e">
        <f>IF(#REF!="Intakes",#REF!,#REF!)</f>
        <v>#REF!</v>
      </c>
      <c r="E71" s="121" t="e">
        <f>IF(#REF!="Intakes",#REF!,#REF!)</f>
        <v>#REF!</v>
      </c>
      <c r="F71" s="121" t="e">
        <f>IF(#REF!="Intakes",#REF!,#REF!)</f>
        <v>#REF!</v>
      </c>
      <c r="G71" s="122" t="e">
        <f>IF(#REF!="Intakes",#REF!,#REF!)</f>
        <v>#REF!</v>
      </c>
    </row>
    <row r="72" spans="1:7">
      <c r="A72" s="14"/>
      <c r="G72" s="107"/>
    </row>
    <row r="73" spans="1:7">
      <c r="A73" s="14"/>
      <c r="G73" s="107"/>
    </row>
    <row r="74" spans="1:7">
      <c r="A74" s="14"/>
      <c r="G74" s="107"/>
    </row>
    <row r="75" spans="1:7">
      <c r="A75" s="14"/>
      <c r="G75" s="107"/>
    </row>
    <row r="76" spans="1:7">
      <c r="A76" s="15"/>
      <c r="B76" s="16"/>
      <c r="C76" s="16"/>
      <c r="D76" s="16"/>
      <c r="E76" s="16"/>
      <c r="F76" s="16"/>
      <c r="G76" s="115"/>
    </row>
    <row r="77" spans="1:7"/>
    <row r="78" spans="1:7"/>
    <row r="79" spans="1:7"/>
    <row r="80" spans="1:7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</sheetData>
  <mergeCells count="2">
    <mergeCell ref="A5:G5"/>
    <mergeCell ref="A1:G2"/>
  </mergeCells>
  <pageMargins left="0.31496062992125984" right="0.31496062992125984" top="0.39370078740157483" bottom="0.39370078740157483" header="0.31496062992125984" footer="0.31496062992125984"/>
  <pageSetup paperSize="8" scale="86" fitToHeight="0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45"/>
  <sheetViews>
    <sheetView workbookViewId="0"/>
  </sheetViews>
  <sheetFormatPr defaultColWidth="8.88671875" defaultRowHeight="14.4" outlineLevelRow="1"/>
  <cols>
    <col min="1" max="1" width="35.33203125" bestFit="1" customWidth="1"/>
    <col min="2" max="2" width="28" bestFit="1" customWidth="1"/>
    <col min="5" max="6" width="12" bestFit="1" customWidth="1"/>
  </cols>
  <sheetData>
    <row r="1" spans="1:2" outlineLevel="1">
      <c r="A1" t="s">
        <v>320</v>
      </c>
      <c r="B1" t="s">
        <v>321</v>
      </c>
    </row>
    <row r="2" spans="1:2" outlineLevel="1">
      <c r="A2" t="s">
        <v>322</v>
      </c>
      <c r="B2" t="s">
        <v>323</v>
      </c>
    </row>
    <row r="3" spans="1:2" outlineLevel="1">
      <c r="A3" t="s">
        <v>324</v>
      </c>
      <c r="B3" t="s">
        <v>325</v>
      </c>
    </row>
    <row r="4" spans="1:2" outlineLevel="1">
      <c r="A4" t="s">
        <v>326</v>
      </c>
      <c r="B4" t="s">
        <v>327</v>
      </c>
    </row>
    <row r="5" spans="1:2" outlineLevel="1">
      <c r="A5" t="s">
        <v>328</v>
      </c>
      <c r="B5" t="s">
        <v>329</v>
      </c>
    </row>
    <row r="6" spans="1:2" outlineLevel="1">
      <c r="A6" t="s">
        <v>330</v>
      </c>
      <c r="B6" t="s">
        <v>331</v>
      </c>
    </row>
    <row r="7" spans="1:2" outlineLevel="1">
      <c r="A7" t="s">
        <v>332</v>
      </c>
      <c r="B7" t="s">
        <v>331</v>
      </c>
    </row>
    <row r="8" spans="1:2" outlineLevel="1">
      <c r="A8" t="s">
        <v>333</v>
      </c>
      <c r="B8" t="s">
        <v>334</v>
      </c>
    </row>
    <row r="9" spans="1:2" outlineLevel="1">
      <c r="A9" t="s">
        <v>335</v>
      </c>
      <c r="B9" t="s">
        <v>336</v>
      </c>
    </row>
    <row r="10" spans="1:2" outlineLevel="1">
      <c r="A10" t="s">
        <v>337</v>
      </c>
      <c r="B10" s="117" t="s">
        <v>338</v>
      </c>
    </row>
    <row r="11" spans="1:2" outlineLevel="1">
      <c r="A11" t="s">
        <v>339</v>
      </c>
      <c r="B11" t="s">
        <v>340</v>
      </c>
    </row>
    <row r="12" spans="1:2" outlineLevel="1">
      <c r="A12" t="s">
        <v>341</v>
      </c>
      <c r="B12" t="s">
        <v>342</v>
      </c>
    </row>
    <row r="13" spans="1:2" outlineLevel="1">
      <c r="A13" t="s">
        <v>343</v>
      </c>
      <c r="B13" t="s">
        <v>344</v>
      </c>
    </row>
    <row r="14" spans="1:2" outlineLevel="1">
      <c r="A14" t="s">
        <v>345</v>
      </c>
      <c r="B14" t="s">
        <v>346</v>
      </c>
    </row>
    <row r="15" spans="1:2" outlineLevel="1">
      <c r="A15" t="s">
        <v>347</v>
      </c>
      <c r="B15" s="117" t="s">
        <v>348</v>
      </c>
    </row>
    <row r="16" spans="1:2" outlineLevel="1">
      <c r="A16" t="s">
        <v>349</v>
      </c>
      <c r="B16" t="s">
        <v>350</v>
      </c>
    </row>
    <row r="19" spans="1:7">
      <c r="C19" s="118" t="s">
        <v>351</v>
      </c>
      <c r="D19" s="118" t="s">
        <v>352</v>
      </c>
      <c r="E19" s="118" t="s">
        <v>353</v>
      </c>
      <c r="F19" s="118" t="s">
        <v>354</v>
      </c>
      <c r="G19" s="118" t="s">
        <v>355</v>
      </c>
    </row>
    <row r="20" spans="1:7">
      <c r="A20" t="s">
        <v>356</v>
      </c>
      <c r="C20" s="119">
        <v>425.99999996800017</v>
      </c>
      <c r="D20" s="119">
        <v>262.99999995600001</v>
      </c>
      <c r="E20" s="119">
        <v>162.999999965</v>
      </c>
      <c r="F20" s="119">
        <v>70.999999979999984</v>
      </c>
      <c r="G20" s="119">
        <v>30.999999993000003</v>
      </c>
    </row>
    <row r="23" spans="1:7" outlineLevel="1"/>
    <row r="24" spans="1:7" outlineLevel="1"/>
    <row r="25" spans="1:7" outlineLevel="1">
      <c r="A25" t="s">
        <v>320</v>
      </c>
      <c r="B25" t="s">
        <v>321</v>
      </c>
    </row>
    <row r="26" spans="1:7" outlineLevel="1">
      <c r="A26" t="s">
        <v>322</v>
      </c>
      <c r="B26" t="s">
        <v>323</v>
      </c>
    </row>
    <row r="27" spans="1:7" outlineLevel="1">
      <c r="A27" t="s">
        <v>324</v>
      </c>
      <c r="B27" t="s">
        <v>325</v>
      </c>
    </row>
    <row r="28" spans="1:7" outlineLevel="1">
      <c r="A28" t="s">
        <v>326</v>
      </c>
      <c r="B28" t="s">
        <v>327</v>
      </c>
    </row>
    <row r="29" spans="1:7" outlineLevel="1">
      <c r="A29" t="s">
        <v>328</v>
      </c>
      <c r="B29" t="s">
        <v>329</v>
      </c>
    </row>
    <row r="30" spans="1:7" outlineLevel="1">
      <c r="A30" t="s">
        <v>330</v>
      </c>
      <c r="B30" t="s">
        <v>331</v>
      </c>
    </row>
    <row r="31" spans="1:7" outlineLevel="1">
      <c r="A31" t="s">
        <v>332</v>
      </c>
      <c r="B31" t="s">
        <v>331</v>
      </c>
    </row>
    <row r="32" spans="1:7" outlineLevel="1">
      <c r="A32" t="s">
        <v>333</v>
      </c>
      <c r="B32" t="s">
        <v>334</v>
      </c>
    </row>
    <row r="33" spans="1:7" outlineLevel="1">
      <c r="A33" t="s">
        <v>335</v>
      </c>
      <c r="B33" t="s">
        <v>336</v>
      </c>
    </row>
    <row r="34" spans="1:7" outlineLevel="1">
      <c r="A34" t="s">
        <v>337</v>
      </c>
      <c r="B34" s="117" t="s">
        <v>338</v>
      </c>
    </row>
    <row r="35" spans="1:7" outlineLevel="1">
      <c r="A35" t="s">
        <v>339</v>
      </c>
      <c r="B35" t="s">
        <v>340</v>
      </c>
    </row>
    <row r="36" spans="1:7" outlineLevel="1">
      <c r="A36" t="s">
        <v>341</v>
      </c>
      <c r="B36" t="s">
        <v>342</v>
      </c>
    </row>
    <row r="37" spans="1:7" outlineLevel="1">
      <c r="A37" t="s">
        <v>343</v>
      </c>
      <c r="B37" t="s">
        <v>344</v>
      </c>
    </row>
    <row r="38" spans="1:7" outlineLevel="1">
      <c r="A38" t="s">
        <v>345</v>
      </c>
      <c r="B38" t="s">
        <v>346</v>
      </c>
    </row>
    <row r="39" spans="1:7" outlineLevel="1">
      <c r="A39" t="s">
        <v>347</v>
      </c>
      <c r="B39" s="117" t="s">
        <v>357</v>
      </c>
    </row>
    <row r="42" spans="1:7">
      <c r="C42" s="118" t="s">
        <v>351</v>
      </c>
      <c r="D42" s="118" t="s">
        <v>352</v>
      </c>
      <c r="E42" s="118" t="s">
        <v>353</v>
      </c>
      <c r="F42" s="118" t="s">
        <v>354</v>
      </c>
      <c r="G42" s="118" t="s">
        <v>355</v>
      </c>
    </row>
    <row r="43" spans="1:7">
      <c r="A43" t="s">
        <v>356</v>
      </c>
      <c r="B43" s="7" t="s">
        <v>350</v>
      </c>
      <c r="C43">
        <v>190</v>
      </c>
      <c r="D43">
        <v>110</v>
      </c>
      <c r="E43">
        <v>62.125</v>
      </c>
      <c r="F43">
        <v>23</v>
      </c>
      <c r="G43">
        <v>10.625</v>
      </c>
    </row>
    <row r="45" spans="1:7">
      <c r="B45" t="s">
        <v>358</v>
      </c>
      <c r="C45" s="105">
        <f>C43/C20</f>
        <v>0.44600938970486437</v>
      </c>
      <c r="D45" s="105">
        <f>D43/D20</f>
        <v>0.41825095064031576</v>
      </c>
      <c r="E45" s="105">
        <f>E43/E20</f>
        <v>0.38113496940699215</v>
      </c>
      <c r="F45" s="105">
        <f>F43/F20</f>
        <v>0.32394366206308278</v>
      </c>
      <c r="G45" s="105">
        <f>G43/G20</f>
        <v>0.34274193556126425</v>
      </c>
    </row>
  </sheetData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S68"/>
  <sheetViews>
    <sheetView topLeftCell="A32" workbookViewId="0"/>
  </sheetViews>
  <sheetFormatPr defaultColWidth="8.88671875" defaultRowHeight="14.4"/>
  <cols>
    <col min="1" max="1" width="30.88671875" bestFit="1" customWidth="1"/>
    <col min="2" max="2" width="30.88671875" customWidth="1"/>
    <col min="3" max="3" width="28" bestFit="1" customWidth="1"/>
    <col min="4" max="4" width="19.33203125" bestFit="1" customWidth="1"/>
    <col min="5" max="5" width="19.33203125" customWidth="1"/>
    <col min="6" max="6" width="13.44140625" bestFit="1" customWidth="1"/>
    <col min="7" max="7" width="19.33203125" bestFit="1" customWidth="1"/>
    <col min="8" max="8" width="19.33203125" customWidth="1"/>
    <col min="9" max="9" width="13.44140625" bestFit="1" customWidth="1"/>
    <col min="10" max="10" width="19.33203125" bestFit="1" customWidth="1"/>
    <col min="11" max="11" width="19.33203125" customWidth="1"/>
    <col min="12" max="12" width="13.44140625" bestFit="1" customWidth="1"/>
    <col min="13" max="13" width="19.33203125" bestFit="1" customWidth="1"/>
  </cols>
  <sheetData>
    <row r="1" spans="1:3">
      <c r="A1" t="s">
        <v>320</v>
      </c>
      <c r="C1" t="s">
        <v>321</v>
      </c>
    </row>
    <row r="2" spans="1:3">
      <c r="A2" t="s">
        <v>322</v>
      </c>
      <c r="C2" t="s">
        <v>323</v>
      </c>
    </row>
    <row r="3" spans="1:3">
      <c r="A3" t="s">
        <v>324</v>
      </c>
      <c r="C3" t="s">
        <v>325</v>
      </c>
    </row>
    <row r="4" spans="1:3">
      <c r="A4" t="s">
        <v>326</v>
      </c>
      <c r="C4" t="s">
        <v>359</v>
      </c>
    </row>
    <row r="5" spans="1:3">
      <c r="A5" t="s">
        <v>328</v>
      </c>
      <c r="C5" t="s">
        <v>329</v>
      </c>
    </row>
    <row r="6" spans="1:3">
      <c r="A6" t="s">
        <v>330</v>
      </c>
      <c r="C6" t="s">
        <v>331</v>
      </c>
    </row>
    <row r="7" spans="1:3">
      <c r="A7" t="s">
        <v>332</v>
      </c>
      <c r="C7" t="s">
        <v>331</v>
      </c>
    </row>
    <row r="8" spans="1:3">
      <c r="A8" t="s">
        <v>333</v>
      </c>
      <c r="C8" t="s">
        <v>334</v>
      </c>
    </row>
    <row r="9" spans="1:3">
      <c r="A9" t="s">
        <v>335</v>
      </c>
      <c r="C9" t="s">
        <v>336</v>
      </c>
    </row>
    <row r="10" spans="1:3">
      <c r="A10" t="s">
        <v>337</v>
      </c>
      <c r="C10" t="s">
        <v>360</v>
      </c>
    </row>
    <row r="11" spans="1:3">
      <c r="A11" t="s">
        <v>339</v>
      </c>
      <c r="C11" t="s">
        <v>340</v>
      </c>
    </row>
    <row r="12" spans="1:3">
      <c r="A12" t="s">
        <v>361</v>
      </c>
      <c r="C12" t="s">
        <v>350</v>
      </c>
    </row>
    <row r="13" spans="1:3">
      <c r="A13" t="s">
        <v>341</v>
      </c>
      <c r="C13" t="s">
        <v>342</v>
      </c>
    </row>
    <row r="14" spans="1:3">
      <c r="A14" t="s">
        <v>343</v>
      </c>
      <c r="C14" t="s">
        <v>344</v>
      </c>
    </row>
    <row r="15" spans="1:3">
      <c r="A15" t="s">
        <v>345</v>
      </c>
      <c r="C15" t="s">
        <v>346</v>
      </c>
    </row>
    <row r="18" spans="1:19">
      <c r="C18" s="118" t="s">
        <v>351</v>
      </c>
      <c r="D18" s="118" t="s">
        <v>351</v>
      </c>
      <c r="E18" s="118"/>
      <c r="F18" s="118" t="s">
        <v>352</v>
      </c>
      <c r="G18" s="118" t="s">
        <v>352</v>
      </c>
      <c r="H18" s="118"/>
      <c r="I18" s="118" t="s">
        <v>353</v>
      </c>
      <c r="J18" s="118" t="s">
        <v>353</v>
      </c>
      <c r="K18" s="118"/>
      <c r="L18" s="118" t="s">
        <v>354</v>
      </c>
      <c r="M18" s="118" t="s">
        <v>354</v>
      </c>
    </row>
    <row r="19" spans="1:19">
      <c r="C19" t="s">
        <v>357</v>
      </c>
      <c r="D19" t="s">
        <v>348</v>
      </c>
      <c r="F19" t="s">
        <v>357</v>
      </c>
      <c r="G19" t="s">
        <v>348</v>
      </c>
      <c r="I19" t="s">
        <v>357</v>
      </c>
      <c r="J19" t="s">
        <v>348</v>
      </c>
      <c r="L19" t="s">
        <v>357</v>
      </c>
      <c r="M19" t="s">
        <v>348</v>
      </c>
      <c r="O19" t="s">
        <v>362</v>
      </c>
      <c r="P19" t="s">
        <v>363</v>
      </c>
      <c r="Q19" t="s">
        <v>362</v>
      </c>
      <c r="R19" t="s">
        <v>363</v>
      </c>
      <c r="S19" t="s">
        <v>364</v>
      </c>
    </row>
    <row r="20" spans="1:19">
      <c r="A20" t="s">
        <v>175</v>
      </c>
      <c r="B20" t="s">
        <v>365</v>
      </c>
      <c r="C20" s="120">
        <v>1428.98569</v>
      </c>
      <c r="D20" s="120">
        <v>3651.4595234139988</v>
      </c>
      <c r="E20" s="120">
        <f t="shared" ref="E20:E43" si="0">C20/D20</f>
        <v>0.39134644128930224</v>
      </c>
      <c r="F20" s="120">
        <v>1698.1094499999999</v>
      </c>
      <c r="G20" s="120">
        <v>4488.1499995359982</v>
      </c>
      <c r="H20" s="120">
        <f t="shared" ref="H20:H43" si="1">F20/G20</f>
        <v>0.37835398776234236</v>
      </c>
      <c r="I20" s="120">
        <v>1682.9313500000001</v>
      </c>
      <c r="J20" s="120">
        <v>4618.4333328080002</v>
      </c>
      <c r="K20" s="120">
        <f t="shared" ref="K20:K43" si="2">I20/J20</f>
        <v>0.36439442311420794</v>
      </c>
      <c r="L20" s="120">
        <v>2073.3808900000004</v>
      </c>
      <c r="M20" s="120">
        <v>6067.7666659039996</v>
      </c>
      <c r="N20" s="120">
        <f t="shared" ref="N20:N43" si="3">L20/M20</f>
        <v>0.341704123471119</v>
      </c>
      <c r="O20" s="120">
        <f t="shared" ref="O20:O43" si="4">MIN(N20,K20,H20,E20)-0.02</f>
        <v>0.32170412347111899</v>
      </c>
      <c r="P20" s="120">
        <f t="shared" ref="P20:P43" si="5">MAX(N20,K20,H20,E20)+0.01</f>
        <v>0.40134644128930225</v>
      </c>
      <c r="Q20" s="105">
        <f t="shared" ref="Q20:Q43" si="6">O20*2</f>
        <v>0.64340824694223797</v>
      </c>
      <c r="R20" s="105">
        <f t="shared" ref="R20:R43" si="7">P20*2</f>
        <v>0.80269288257860449</v>
      </c>
      <c r="S20" s="105" t="str">
        <f t="shared" ref="S20:S43" si="8">TEXT(Q20,"0%")&amp;" to "&amp;TEXT(R20,"0%")</f>
        <v>64% to 80%</v>
      </c>
    </row>
    <row r="21" spans="1:19">
      <c r="A21" t="s">
        <v>177</v>
      </c>
      <c r="B21" t="s">
        <v>365</v>
      </c>
      <c r="C21" s="120">
        <v>1810.125</v>
      </c>
      <c r="D21" s="120">
        <v>4433.1166663530075</v>
      </c>
      <c r="E21" s="120">
        <f t="shared" si="0"/>
        <v>0.40831882764076582</v>
      </c>
      <c r="F21" s="120">
        <v>1712</v>
      </c>
      <c r="G21" s="120">
        <v>4393.7833330510057</v>
      </c>
      <c r="H21" s="120">
        <f t="shared" si="1"/>
        <v>0.38964142522048345</v>
      </c>
      <c r="I21" s="120">
        <v>1479.5</v>
      </c>
      <c r="J21" s="120">
        <v>4143.9999996830029</v>
      </c>
      <c r="K21" s="120">
        <f t="shared" si="2"/>
        <v>0.35702220079951136</v>
      </c>
      <c r="L21" s="120">
        <v>1457.375</v>
      </c>
      <c r="M21" s="120">
        <v>3966.4666663810021</v>
      </c>
      <c r="N21" s="120">
        <f t="shared" si="3"/>
        <v>0.3674239877905508</v>
      </c>
      <c r="O21" s="120">
        <f t="shared" si="4"/>
        <v>0.33702220079951134</v>
      </c>
      <c r="P21" s="120">
        <f t="shared" si="5"/>
        <v>0.41831882764076583</v>
      </c>
      <c r="Q21" s="105">
        <f t="shared" si="6"/>
        <v>0.67404440159902268</v>
      </c>
      <c r="R21" s="105">
        <f t="shared" si="7"/>
        <v>0.83663765528153167</v>
      </c>
      <c r="S21" s="105" t="str">
        <f t="shared" si="8"/>
        <v>67% to 84%</v>
      </c>
    </row>
    <row r="22" spans="1:19">
      <c r="A22" t="s">
        <v>179</v>
      </c>
      <c r="B22" t="s">
        <v>365</v>
      </c>
      <c r="C22" s="120">
        <v>943.21155999999917</v>
      </c>
      <c r="D22" s="120">
        <v>2266.3785712489912</v>
      </c>
      <c r="E22" s="120">
        <f t="shared" si="0"/>
        <v>0.41617564336579455</v>
      </c>
      <c r="F22" s="120">
        <v>1021.5993099999986</v>
      </c>
      <c r="G22" s="120">
        <v>2415.8404759199939</v>
      </c>
      <c r="H22" s="120">
        <f t="shared" si="1"/>
        <v>0.42287531821030355</v>
      </c>
      <c r="I22" s="120">
        <v>1025.7940899999992</v>
      </c>
      <c r="J22" s="120">
        <v>2482.1904758189949</v>
      </c>
      <c r="K22" s="120">
        <f t="shared" si="2"/>
        <v>0.41326163321996473</v>
      </c>
      <c r="L22" s="120">
        <v>1012.7757099999997</v>
      </c>
      <c r="M22" s="120">
        <v>2466.3833328889968</v>
      </c>
      <c r="N22" s="120">
        <f t="shared" si="3"/>
        <v>0.41063191455064096</v>
      </c>
      <c r="O22" s="120">
        <f t="shared" si="4"/>
        <v>0.39063191455064095</v>
      </c>
      <c r="P22" s="120">
        <f t="shared" si="5"/>
        <v>0.43287531821030356</v>
      </c>
      <c r="Q22" s="105">
        <f t="shared" si="6"/>
        <v>0.78126382910128189</v>
      </c>
      <c r="R22" s="105">
        <f t="shared" si="7"/>
        <v>0.86575063642060712</v>
      </c>
      <c r="S22" s="105" t="str">
        <f t="shared" si="8"/>
        <v>78% to 87%</v>
      </c>
    </row>
    <row r="23" spans="1:19">
      <c r="A23" t="s">
        <v>180</v>
      </c>
      <c r="B23" t="s">
        <v>365</v>
      </c>
      <c r="C23" s="120">
        <v>1668.44336</v>
      </c>
      <c r="D23" s="120">
        <v>4557.8035707120007</v>
      </c>
      <c r="E23" s="120">
        <f t="shared" si="0"/>
        <v>0.36606302446232075</v>
      </c>
      <c r="F23" s="120">
        <v>1648.10844</v>
      </c>
      <c r="G23" s="120">
        <v>4549.1333326740005</v>
      </c>
      <c r="H23" s="120">
        <f t="shared" si="1"/>
        <v>0.36229064295885005</v>
      </c>
      <c r="I23" s="120">
        <v>1672.3636500000002</v>
      </c>
      <c r="J23" s="120">
        <v>4656.1166660079998</v>
      </c>
      <c r="K23" s="120">
        <f t="shared" si="2"/>
        <v>0.35917563282060744</v>
      </c>
      <c r="L23" s="120">
        <v>1726.0838999999999</v>
      </c>
      <c r="M23" s="120">
        <v>5171.566665845</v>
      </c>
      <c r="N23" s="120">
        <f t="shared" si="3"/>
        <v>0.33376421721481747</v>
      </c>
      <c r="O23" s="120">
        <f t="shared" si="4"/>
        <v>0.31376421721481745</v>
      </c>
      <c r="P23" s="120">
        <f t="shared" si="5"/>
        <v>0.37606302446232076</v>
      </c>
      <c r="Q23" s="105">
        <f t="shared" si="6"/>
        <v>0.62752843442963491</v>
      </c>
      <c r="R23" s="105">
        <f t="shared" si="7"/>
        <v>0.75212604892464152</v>
      </c>
      <c r="S23" s="105" t="str">
        <f t="shared" si="8"/>
        <v>63% to 75%</v>
      </c>
    </row>
    <row r="24" spans="1:19">
      <c r="A24" t="s">
        <v>178</v>
      </c>
      <c r="B24" t="s">
        <v>365</v>
      </c>
      <c r="C24" s="120">
        <v>594.92648000000008</v>
      </c>
      <c r="D24" s="120">
        <v>1261.816666532</v>
      </c>
      <c r="E24" s="120">
        <f t="shared" si="0"/>
        <v>0.47148408780738876</v>
      </c>
      <c r="F24" s="120">
        <v>654.32353999999998</v>
      </c>
      <c r="G24" s="120">
        <v>1396.4999998490002</v>
      </c>
      <c r="H24" s="120">
        <f t="shared" si="1"/>
        <v>0.4685453204946296</v>
      </c>
      <c r="I24" s="120">
        <v>624.84559000000002</v>
      </c>
      <c r="J24" s="120">
        <v>1406.4499998440001</v>
      </c>
      <c r="K24" s="120">
        <f t="shared" si="2"/>
        <v>0.44427145655324135</v>
      </c>
      <c r="L24" s="120">
        <v>648.10294999999996</v>
      </c>
      <c r="M24" s="120">
        <v>1570.1428569590014</v>
      </c>
      <c r="N24" s="120">
        <f t="shared" si="3"/>
        <v>0.41276686839516208</v>
      </c>
      <c r="O24" s="120">
        <f t="shared" si="4"/>
        <v>0.39276686839516206</v>
      </c>
      <c r="P24" s="120">
        <f t="shared" si="5"/>
        <v>0.48148408780738877</v>
      </c>
      <c r="Q24" s="105">
        <f t="shared" si="6"/>
        <v>0.78553373679032412</v>
      </c>
      <c r="R24" s="105">
        <f t="shared" si="7"/>
        <v>0.96296817561477754</v>
      </c>
      <c r="S24" s="105" t="str">
        <f t="shared" si="8"/>
        <v>79% to 96%</v>
      </c>
    </row>
    <row r="25" spans="1:19">
      <c r="A25" t="s">
        <v>181</v>
      </c>
      <c r="B25" t="s">
        <v>365</v>
      </c>
      <c r="C25" s="120">
        <v>1375.6505299999999</v>
      </c>
      <c r="D25" s="120">
        <v>3340.3499995030102</v>
      </c>
      <c r="E25" s="120">
        <f t="shared" si="0"/>
        <v>0.41182826057289634</v>
      </c>
      <c r="F25" s="120">
        <v>1373.1912799999998</v>
      </c>
      <c r="G25" s="120">
        <v>3267.616666145007</v>
      </c>
      <c r="H25" s="120">
        <f t="shared" si="1"/>
        <v>0.42024246424842471</v>
      </c>
      <c r="I25" s="120">
        <v>1292.9412200000002</v>
      </c>
      <c r="J25" s="120">
        <v>3144.9666661410065</v>
      </c>
      <c r="K25" s="120">
        <f t="shared" si="2"/>
        <v>0.41111444325306257</v>
      </c>
      <c r="L25" s="120">
        <v>1255.97795</v>
      </c>
      <c r="M25" s="120">
        <v>3145.4523804190062</v>
      </c>
      <c r="N25" s="120">
        <f t="shared" si="3"/>
        <v>0.39929962310626077</v>
      </c>
      <c r="O25" s="120">
        <f t="shared" si="4"/>
        <v>0.37929962310626075</v>
      </c>
      <c r="P25" s="120">
        <f t="shared" si="5"/>
        <v>0.43024246424842472</v>
      </c>
      <c r="Q25" s="105">
        <f t="shared" si="6"/>
        <v>0.75859924621252151</v>
      </c>
      <c r="R25" s="105">
        <f t="shared" si="7"/>
        <v>0.86048492849684943</v>
      </c>
      <c r="S25" s="105" t="str">
        <f t="shared" si="8"/>
        <v>76% to 86%</v>
      </c>
    </row>
    <row r="26" spans="1:19">
      <c r="A26" t="s">
        <v>182</v>
      </c>
      <c r="B26" t="s">
        <v>365</v>
      </c>
      <c r="C26" s="120">
        <v>728.4008</v>
      </c>
      <c r="D26" s="120">
        <v>1546.7285715229973</v>
      </c>
      <c r="E26" s="120">
        <f t="shared" si="0"/>
        <v>0.4709299442776666</v>
      </c>
      <c r="F26" s="120">
        <v>722.88610000000006</v>
      </c>
      <c r="G26" s="120">
        <v>1542.6500000989986</v>
      </c>
      <c r="H26" s="120">
        <f t="shared" si="1"/>
        <v>0.46860020092283361</v>
      </c>
      <c r="I26" s="120">
        <v>698.41823999999997</v>
      </c>
      <c r="J26" s="120">
        <v>1487.5738096359978</v>
      </c>
      <c r="K26" s="120">
        <f t="shared" si="2"/>
        <v>0.46950157059494046</v>
      </c>
      <c r="L26" s="120">
        <v>649</v>
      </c>
      <c r="M26" s="120">
        <v>1629.221428615996</v>
      </c>
      <c r="N26" s="120">
        <f t="shared" si="3"/>
        <v>0.39834978143598176</v>
      </c>
      <c r="O26" s="120">
        <f t="shared" si="4"/>
        <v>0.37834978143598175</v>
      </c>
      <c r="P26" s="120">
        <f t="shared" si="5"/>
        <v>0.48092994427766661</v>
      </c>
      <c r="Q26" s="105">
        <f t="shared" si="6"/>
        <v>0.75669956287196349</v>
      </c>
      <c r="R26" s="105">
        <f t="shared" si="7"/>
        <v>0.96185988855533322</v>
      </c>
      <c r="S26" s="105" t="str">
        <f t="shared" si="8"/>
        <v>76% to 96%</v>
      </c>
    </row>
    <row r="27" spans="1:19">
      <c r="A27" t="s">
        <v>187</v>
      </c>
      <c r="B27" t="s">
        <v>365</v>
      </c>
      <c r="C27" s="120">
        <v>1910.0701200000001</v>
      </c>
      <c r="D27" s="120">
        <v>4632.7595231519954</v>
      </c>
      <c r="E27" s="120">
        <f t="shared" si="0"/>
        <v>0.41229641004557122</v>
      </c>
      <c r="F27" s="120">
        <v>2068.8780499999998</v>
      </c>
      <c r="G27" s="120">
        <v>5168.3249992989968</v>
      </c>
      <c r="H27" s="120">
        <f t="shared" si="1"/>
        <v>0.40029952649661371</v>
      </c>
      <c r="I27" s="120">
        <v>2030.9482</v>
      </c>
      <c r="J27" s="120">
        <v>4983.5249992749978</v>
      </c>
      <c r="K27" s="120">
        <f t="shared" si="2"/>
        <v>0.40753245951318834</v>
      </c>
      <c r="L27" s="120">
        <v>2252.45525</v>
      </c>
      <c r="M27" s="120">
        <v>5946.1166657120002</v>
      </c>
      <c r="N27" s="120">
        <f t="shared" si="3"/>
        <v>0.37881114290755113</v>
      </c>
      <c r="O27" s="120">
        <f t="shared" si="4"/>
        <v>0.35881114290755112</v>
      </c>
      <c r="P27" s="120">
        <f t="shared" si="5"/>
        <v>0.42229641004557122</v>
      </c>
      <c r="Q27" s="105">
        <f t="shared" si="6"/>
        <v>0.71762228581510223</v>
      </c>
      <c r="R27" s="105">
        <f t="shared" si="7"/>
        <v>0.84459282009114245</v>
      </c>
      <c r="S27" s="105" t="str">
        <f t="shared" si="8"/>
        <v>72% to 84%</v>
      </c>
    </row>
    <row r="28" spans="1:19">
      <c r="A28" t="s">
        <v>188</v>
      </c>
      <c r="B28" t="s">
        <v>365</v>
      </c>
      <c r="C28" s="120">
        <v>928.15709000000004</v>
      </c>
      <c r="D28" s="120">
        <v>2568.3999997200008</v>
      </c>
      <c r="E28" s="120">
        <f t="shared" si="0"/>
        <v>0.36137559963447474</v>
      </c>
      <c r="F28" s="120">
        <v>923.53577000000007</v>
      </c>
      <c r="G28" s="120">
        <v>2798.417856850002</v>
      </c>
      <c r="H28" s="120">
        <f t="shared" si="1"/>
        <v>0.33002068212913871</v>
      </c>
      <c r="I28" s="120">
        <v>829.55419000000006</v>
      </c>
      <c r="J28" s="120">
        <v>2558.3011902020012</v>
      </c>
      <c r="K28" s="120">
        <f t="shared" si="2"/>
        <v>0.32425978347549422</v>
      </c>
      <c r="L28" s="120">
        <v>936.98061000000007</v>
      </c>
      <c r="M28" s="120">
        <v>2939.1999996420018</v>
      </c>
      <c r="N28" s="120">
        <f t="shared" si="3"/>
        <v>0.31878763272799587</v>
      </c>
      <c r="O28" s="120">
        <f t="shared" si="4"/>
        <v>0.29878763272799586</v>
      </c>
      <c r="P28" s="120">
        <f t="shared" si="5"/>
        <v>0.37137559963447475</v>
      </c>
      <c r="Q28" s="105">
        <f t="shared" si="6"/>
        <v>0.59757526545599171</v>
      </c>
      <c r="R28" s="105">
        <f t="shared" si="7"/>
        <v>0.7427511992689495</v>
      </c>
      <c r="S28" s="105" t="str">
        <f t="shared" si="8"/>
        <v>60% to 74%</v>
      </c>
    </row>
    <row r="29" spans="1:19">
      <c r="A29" t="s">
        <v>185</v>
      </c>
      <c r="B29" t="s">
        <v>365</v>
      </c>
      <c r="C29" s="120">
        <v>505.2503800000004</v>
      </c>
      <c r="D29" s="120">
        <v>1189.085714117</v>
      </c>
      <c r="E29" s="120">
        <f t="shared" si="0"/>
        <v>0.42490661018090942</v>
      </c>
      <c r="F29" s="120">
        <v>561.26718000000017</v>
      </c>
      <c r="G29" s="120">
        <v>1295.9166664490001</v>
      </c>
      <c r="H29" s="120">
        <f t="shared" si="1"/>
        <v>0.43310437664016915</v>
      </c>
      <c r="I29" s="120">
        <v>542.55697000000009</v>
      </c>
      <c r="J29" s="120">
        <v>1279.6999997640007</v>
      </c>
      <c r="K29" s="120">
        <f t="shared" si="2"/>
        <v>0.42397200132848101</v>
      </c>
      <c r="L29" s="120">
        <v>475.31630000000001</v>
      </c>
      <c r="M29" s="120">
        <v>1215.4833330980011</v>
      </c>
      <c r="N29" s="120">
        <f t="shared" si="3"/>
        <v>0.39105126911820565</v>
      </c>
      <c r="O29" s="120">
        <f t="shared" si="4"/>
        <v>0.37105126911820563</v>
      </c>
      <c r="P29" s="120">
        <f t="shared" si="5"/>
        <v>0.44310437664016916</v>
      </c>
      <c r="Q29" s="105">
        <f t="shared" si="6"/>
        <v>0.74210253823641126</v>
      </c>
      <c r="R29" s="105">
        <f t="shared" si="7"/>
        <v>0.88620875328033832</v>
      </c>
      <c r="S29" s="105" t="str">
        <f t="shared" si="8"/>
        <v>74% to 89%</v>
      </c>
    </row>
    <row r="30" spans="1:19">
      <c r="A30" t="s">
        <v>184</v>
      </c>
      <c r="B30" t="s">
        <v>365</v>
      </c>
      <c r="C30" s="120">
        <v>1008.7818000000002</v>
      </c>
      <c r="D30" s="120">
        <v>2530.7333330039996</v>
      </c>
      <c r="E30" s="120">
        <f t="shared" si="0"/>
        <v>0.39861244440265403</v>
      </c>
      <c r="F30" s="120">
        <v>1049.3229800000001</v>
      </c>
      <c r="G30" s="120">
        <v>2703.5999996360001</v>
      </c>
      <c r="H30" s="120">
        <f t="shared" si="1"/>
        <v>0.3881206465976017</v>
      </c>
      <c r="I30" s="120">
        <v>975.00822999999991</v>
      </c>
      <c r="J30" s="120">
        <v>2563.5499996300014</v>
      </c>
      <c r="K30" s="120">
        <f t="shared" si="2"/>
        <v>0.38033517198444478</v>
      </c>
      <c r="L30" s="120">
        <v>1097.7781199999999</v>
      </c>
      <c r="M30" s="120">
        <v>3084.7333328000022</v>
      </c>
      <c r="N30" s="120">
        <f t="shared" si="3"/>
        <v>0.3558745608015168</v>
      </c>
      <c r="O30" s="120">
        <f t="shared" si="4"/>
        <v>0.33587456080151679</v>
      </c>
      <c r="P30" s="120">
        <f t="shared" si="5"/>
        <v>0.40861244440265404</v>
      </c>
      <c r="Q30" s="105">
        <f t="shared" si="6"/>
        <v>0.67174912160303357</v>
      </c>
      <c r="R30" s="105">
        <f t="shared" si="7"/>
        <v>0.81722488880530808</v>
      </c>
      <c r="S30" s="105" t="str">
        <f t="shared" si="8"/>
        <v>67% to 82%</v>
      </c>
    </row>
    <row r="31" spans="1:19">
      <c r="A31" t="s">
        <v>189</v>
      </c>
      <c r="B31" t="s">
        <v>365</v>
      </c>
      <c r="C31" s="120">
        <v>812.18595999999991</v>
      </c>
      <c r="D31" s="120">
        <v>1935.8999997139993</v>
      </c>
      <c r="E31" s="120">
        <f t="shared" si="0"/>
        <v>0.41953921179812409</v>
      </c>
      <c r="F31" s="120">
        <v>810.44749999999999</v>
      </c>
      <c r="G31" s="120">
        <v>1966.7499997060004</v>
      </c>
      <c r="H31" s="120">
        <f t="shared" si="1"/>
        <v>0.41207448843073585</v>
      </c>
      <c r="I31" s="120">
        <v>781.26869999999997</v>
      </c>
      <c r="J31" s="120">
        <v>1960.2666663590003</v>
      </c>
      <c r="K31" s="120">
        <f t="shared" si="2"/>
        <v>0.3985522548578192</v>
      </c>
      <c r="L31" s="120">
        <v>1004.89518</v>
      </c>
      <c r="M31" s="120">
        <v>2768.8999994979995</v>
      </c>
      <c r="N31" s="120">
        <f t="shared" si="3"/>
        <v>0.36292216410205752</v>
      </c>
      <c r="O31" s="120">
        <f t="shared" si="4"/>
        <v>0.3429221641020575</v>
      </c>
      <c r="P31" s="120">
        <f t="shared" si="5"/>
        <v>0.4295392117981241</v>
      </c>
      <c r="Q31" s="105">
        <f t="shared" si="6"/>
        <v>0.68584432820411501</v>
      </c>
      <c r="R31" s="105">
        <f t="shared" si="7"/>
        <v>0.8590784235962482</v>
      </c>
      <c r="S31" s="105" t="str">
        <f t="shared" si="8"/>
        <v>69% to 86%</v>
      </c>
    </row>
    <row r="32" spans="1:19">
      <c r="A32" t="s">
        <v>186</v>
      </c>
      <c r="B32" t="s">
        <v>365</v>
      </c>
      <c r="C32" s="120">
        <v>1314.67947</v>
      </c>
      <c r="D32" s="120">
        <v>3042.0333330039985</v>
      </c>
      <c r="E32" s="120">
        <f t="shared" si="0"/>
        <v>0.4321712900830571</v>
      </c>
      <c r="F32" s="120">
        <v>1302.9765299999999</v>
      </c>
      <c r="G32" s="120">
        <v>3000.8999996509988</v>
      </c>
      <c r="H32" s="120">
        <f t="shared" si="1"/>
        <v>0.43419525147506899</v>
      </c>
      <c r="I32" s="120">
        <v>1262.0459900000001</v>
      </c>
      <c r="J32" s="120">
        <v>2976.5666662919994</v>
      </c>
      <c r="K32" s="120">
        <f t="shared" si="2"/>
        <v>0.42399385986948834</v>
      </c>
      <c r="L32" s="120">
        <v>1132.5707</v>
      </c>
      <c r="M32" s="120">
        <v>2869.5666663190013</v>
      </c>
      <c r="N32" s="120">
        <f t="shared" si="3"/>
        <v>0.39468352950058117</v>
      </c>
      <c r="O32" s="120">
        <f t="shared" si="4"/>
        <v>0.37468352950058115</v>
      </c>
      <c r="P32" s="120">
        <f t="shared" si="5"/>
        <v>0.444195251475069</v>
      </c>
      <c r="Q32" s="105">
        <f t="shared" si="6"/>
        <v>0.74936705900116229</v>
      </c>
      <c r="R32" s="105">
        <f t="shared" si="7"/>
        <v>0.88839050295013799</v>
      </c>
      <c r="S32" s="105" t="str">
        <f t="shared" si="8"/>
        <v>75% to 89%</v>
      </c>
    </row>
    <row r="33" spans="1:19">
      <c r="A33" t="s">
        <v>191</v>
      </c>
      <c r="B33" t="s">
        <v>365</v>
      </c>
      <c r="C33" s="120">
        <v>528.50667999999996</v>
      </c>
      <c r="D33" s="120">
        <v>1195.7666664990008</v>
      </c>
      <c r="E33" s="120">
        <f t="shared" si="0"/>
        <v>0.44198144571747983</v>
      </c>
      <c r="F33" s="120">
        <v>594.85984999999994</v>
      </c>
      <c r="G33" s="120">
        <v>1341.8499998000007</v>
      </c>
      <c r="H33" s="120">
        <f t="shared" si="1"/>
        <v>0.44331322434598674</v>
      </c>
      <c r="I33" s="120">
        <v>619.30487999999991</v>
      </c>
      <c r="J33" s="120">
        <v>1410.2666664440017</v>
      </c>
      <c r="K33" s="120">
        <f t="shared" si="2"/>
        <v>0.43914026668557798</v>
      </c>
      <c r="L33" s="120">
        <v>663.57206999999994</v>
      </c>
      <c r="M33" s="120">
        <v>1556.9333330890015</v>
      </c>
      <c r="N33" s="120">
        <f t="shared" si="3"/>
        <v>0.42620454960871923</v>
      </c>
      <c r="O33" s="120">
        <f t="shared" si="4"/>
        <v>0.40620454960871921</v>
      </c>
      <c r="P33" s="120">
        <f t="shared" si="5"/>
        <v>0.45331322434598675</v>
      </c>
      <c r="Q33" s="105">
        <f t="shared" si="6"/>
        <v>0.81240909921743842</v>
      </c>
      <c r="R33" s="105">
        <f t="shared" si="7"/>
        <v>0.90662644869197351</v>
      </c>
      <c r="S33" s="105" t="str">
        <f t="shared" si="8"/>
        <v>81% to 91%</v>
      </c>
    </row>
    <row r="34" spans="1:19">
      <c r="A34" t="s">
        <v>192</v>
      </c>
      <c r="B34" t="s">
        <v>365</v>
      </c>
      <c r="C34" s="120">
        <v>240.92500000000001</v>
      </c>
      <c r="D34" s="120">
        <v>503.50833331100063</v>
      </c>
      <c r="E34" s="120">
        <f t="shared" si="0"/>
        <v>0.47849257710534954</v>
      </c>
      <c r="F34" s="120">
        <v>229.83750000000001</v>
      </c>
      <c r="G34" s="120">
        <v>479.17166665100035</v>
      </c>
      <c r="H34" s="120">
        <f t="shared" si="1"/>
        <v>0.47965586447622693</v>
      </c>
      <c r="I34" s="120">
        <v>228.72500000000002</v>
      </c>
      <c r="J34" s="120">
        <v>484.44166665000046</v>
      </c>
      <c r="K34" s="120">
        <f t="shared" si="2"/>
        <v>0.4721414687173251</v>
      </c>
      <c r="L34" s="120">
        <v>235.21250000000001</v>
      </c>
      <c r="M34" s="120">
        <v>540.73333331600054</v>
      </c>
      <c r="N34" s="120">
        <f t="shared" si="3"/>
        <v>0.43498797930133071</v>
      </c>
      <c r="O34" s="120">
        <f t="shared" si="4"/>
        <v>0.41498797930133069</v>
      </c>
      <c r="P34" s="120">
        <f t="shared" si="5"/>
        <v>0.48965586447622694</v>
      </c>
      <c r="Q34" s="105">
        <f t="shared" si="6"/>
        <v>0.82997595860266138</v>
      </c>
      <c r="R34" s="105">
        <f t="shared" si="7"/>
        <v>0.97931172895245389</v>
      </c>
      <c r="S34" s="105" t="str">
        <f t="shared" si="8"/>
        <v>83% to 98%</v>
      </c>
    </row>
    <row r="35" spans="1:19">
      <c r="A35" t="s">
        <v>194</v>
      </c>
      <c r="B35" t="s">
        <v>365</v>
      </c>
      <c r="C35" s="120">
        <v>517.1875</v>
      </c>
      <c r="D35" s="120">
        <v>1315.9999997940008</v>
      </c>
      <c r="E35" s="120">
        <f t="shared" si="0"/>
        <v>0.39299962012230821</v>
      </c>
      <c r="F35" s="120">
        <v>609.25</v>
      </c>
      <c r="G35" s="120">
        <v>1608.5833330490013</v>
      </c>
      <c r="H35" s="120">
        <f t="shared" si="1"/>
        <v>0.37874941725598543</v>
      </c>
      <c r="I35" s="120">
        <v>729.625</v>
      </c>
      <c r="J35" s="120">
        <v>1989.9333329770006</v>
      </c>
      <c r="K35" s="120">
        <f t="shared" si="2"/>
        <v>0.36665801205935822</v>
      </c>
      <c r="L35" s="120">
        <v>758.125</v>
      </c>
      <c r="M35" s="120">
        <v>2150.2166662930017</v>
      </c>
      <c r="N35" s="120">
        <f t="shared" si="3"/>
        <v>0.35258074773786224</v>
      </c>
      <c r="O35" s="120">
        <f t="shared" si="4"/>
        <v>0.33258074773786223</v>
      </c>
      <c r="P35" s="120">
        <f t="shared" si="5"/>
        <v>0.40299962012230822</v>
      </c>
      <c r="Q35" s="105">
        <f t="shared" si="6"/>
        <v>0.66516149547572445</v>
      </c>
      <c r="R35" s="105">
        <f t="shared" si="7"/>
        <v>0.80599924024461644</v>
      </c>
      <c r="S35" s="105" t="str">
        <f t="shared" si="8"/>
        <v>67% to 81%</v>
      </c>
    </row>
    <row r="36" spans="1:19">
      <c r="A36" t="s">
        <v>195</v>
      </c>
      <c r="B36" t="s">
        <v>365</v>
      </c>
      <c r="C36" s="120">
        <v>571.78471999999999</v>
      </c>
      <c r="D36" s="120">
        <v>1300.0511903840004</v>
      </c>
      <c r="E36" s="120">
        <f t="shared" si="0"/>
        <v>0.43981708122670926</v>
      </c>
      <c r="F36" s="120">
        <v>394.38193999999999</v>
      </c>
      <c r="G36" s="120">
        <v>1003.1428570660005</v>
      </c>
      <c r="H36" s="120">
        <f t="shared" si="1"/>
        <v>0.3931463372559828</v>
      </c>
      <c r="I36" s="120">
        <v>361.61111</v>
      </c>
      <c r="J36" s="120">
        <v>1030.3595237120005</v>
      </c>
      <c r="K36" s="120">
        <f t="shared" si="2"/>
        <v>0.35095624554160498</v>
      </c>
      <c r="L36" s="120">
        <v>349.0462</v>
      </c>
      <c r="M36" s="120">
        <v>959.6833332190007</v>
      </c>
      <c r="N36" s="120">
        <f t="shared" si="3"/>
        <v>0.36370976541732575</v>
      </c>
      <c r="O36" s="120">
        <f t="shared" si="4"/>
        <v>0.33095624554160497</v>
      </c>
      <c r="P36" s="120">
        <f t="shared" si="5"/>
        <v>0.44981708122670927</v>
      </c>
      <c r="Q36" s="105">
        <f t="shared" si="6"/>
        <v>0.66191249108320993</v>
      </c>
      <c r="R36" s="105">
        <f t="shared" si="7"/>
        <v>0.89963416245341854</v>
      </c>
      <c r="S36" s="105" t="str">
        <f t="shared" si="8"/>
        <v>66% to 90%</v>
      </c>
    </row>
    <row r="37" spans="1:19">
      <c r="A37" t="s">
        <v>196</v>
      </c>
      <c r="B37" t="s">
        <v>365</v>
      </c>
      <c r="C37" s="120">
        <v>844.78999600000031</v>
      </c>
      <c r="D37" s="120">
        <v>1898.6054760040095</v>
      </c>
      <c r="E37" s="120">
        <f t="shared" si="0"/>
        <v>0.4449528913073757</v>
      </c>
      <c r="F37" s="120">
        <v>895.78100000000018</v>
      </c>
      <c r="G37" s="120">
        <v>1998.1988093270102</v>
      </c>
      <c r="H37" s="120">
        <f t="shared" si="1"/>
        <v>0.44829423169444166</v>
      </c>
      <c r="I37" s="120">
        <v>912.18794000000025</v>
      </c>
      <c r="J37" s="120">
        <v>2146.8388092750079</v>
      </c>
      <c r="K37" s="120">
        <f t="shared" si="2"/>
        <v>0.42489819732113382</v>
      </c>
      <c r="L37" s="120">
        <v>953.69291000000021</v>
      </c>
      <c r="M37" s="120">
        <v>2426.4216663690086</v>
      </c>
      <c r="N37" s="120">
        <f t="shared" si="3"/>
        <v>0.39304500253129676</v>
      </c>
      <c r="O37" s="120">
        <f t="shared" si="4"/>
        <v>0.37304500253129674</v>
      </c>
      <c r="P37" s="120">
        <f t="shared" si="5"/>
        <v>0.45829423169444167</v>
      </c>
      <c r="Q37" s="105">
        <f t="shared" si="6"/>
        <v>0.74609000506259349</v>
      </c>
      <c r="R37" s="105">
        <f t="shared" si="7"/>
        <v>0.91658846338888333</v>
      </c>
      <c r="S37" s="105" t="str">
        <f t="shared" si="8"/>
        <v>75% to 92%</v>
      </c>
    </row>
    <row r="38" spans="1:19">
      <c r="A38" t="s">
        <v>197</v>
      </c>
      <c r="B38" t="s">
        <v>365</v>
      </c>
      <c r="C38" s="120">
        <v>2092.5</v>
      </c>
      <c r="D38" s="120">
        <v>5149.4166663020005</v>
      </c>
      <c r="E38" s="120">
        <f t="shared" si="0"/>
        <v>0.40635670709915711</v>
      </c>
      <c r="F38" s="120">
        <v>2135.61364</v>
      </c>
      <c r="G38" s="120">
        <v>5253.9166662859989</v>
      </c>
      <c r="H38" s="120">
        <f t="shared" si="1"/>
        <v>0.40648030329526874</v>
      </c>
      <c r="I38" s="120">
        <v>2145</v>
      </c>
      <c r="J38" s="120">
        <v>5299.4999996070001</v>
      </c>
      <c r="K38" s="120">
        <f t="shared" si="2"/>
        <v>0.40475516561167446</v>
      </c>
      <c r="L38" s="120">
        <v>2496.25</v>
      </c>
      <c r="M38" s="120">
        <v>6656.2499995750004</v>
      </c>
      <c r="N38" s="120">
        <f t="shared" si="3"/>
        <v>0.37502347420234888</v>
      </c>
      <c r="O38" s="120">
        <f t="shared" si="4"/>
        <v>0.35502347420234887</v>
      </c>
      <c r="P38" s="120">
        <f t="shared" si="5"/>
        <v>0.41648030329526875</v>
      </c>
      <c r="Q38" s="105">
        <f t="shared" si="6"/>
        <v>0.71004694840469773</v>
      </c>
      <c r="R38" s="105">
        <f t="shared" si="7"/>
        <v>0.8329606065905375</v>
      </c>
      <c r="S38" s="105" t="str">
        <f t="shared" si="8"/>
        <v>71% to 83%</v>
      </c>
    </row>
    <row r="39" spans="1:19">
      <c r="A39" t="s">
        <v>198</v>
      </c>
      <c r="B39" t="s">
        <v>365</v>
      </c>
      <c r="C39" s="120">
        <v>142.09750000000003</v>
      </c>
      <c r="D39" s="120">
        <v>345.60933330399996</v>
      </c>
      <c r="E39" s="120">
        <f t="shared" si="0"/>
        <v>0.4111506441147243</v>
      </c>
      <c r="F39" s="120">
        <v>127.845</v>
      </c>
      <c r="G39" s="120">
        <v>312.59933330499996</v>
      </c>
      <c r="H39" s="120">
        <f t="shared" si="1"/>
        <v>0.40897400083468172</v>
      </c>
      <c r="I39" s="120">
        <v>146.79500000000002</v>
      </c>
      <c r="J39" s="120">
        <v>361.28799996199996</v>
      </c>
      <c r="K39" s="120">
        <f t="shared" si="2"/>
        <v>0.40631020132260087</v>
      </c>
      <c r="L39" s="120">
        <v>170.60250000000002</v>
      </c>
      <c r="M39" s="120">
        <v>440.83633327799998</v>
      </c>
      <c r="N39" s="120">
        <f t="shared" si="3"/>
        <v>0.386997366418105</v>
      </c>
      <c r="O39" s="120">
        <f t="shared" si="4"/>
        <v>0.36699736641810499</v>
      </c>
      <c r="P39" s="120">
        <f t="shared" si="5"/>
        <v>0.4211506441147243</v>
      </c>
      <c r="Q39" s="105">
        <f t="shared" si="6"/>
        <v>0.73399473283620997</v>
      </c>
      <c r="R39" s="105">
        <f t="shared" si="7"/>
        <v>0.84230128822944861</v>
      </c>
      <c r="S39" s="105" t="str">
        <f t="shared" si="8"/>
        <v>73% to 84%</v>
      </c>
    </row>
    <row r="40" spans="1:19">
      <c r="A40" t="s">
        <v>199</v>
      </c>
      <c r="B40" t="s">
        <v>365</v>
      </c>
      <c r="C40" s="120">
        <v>1159.0552299999999</v>
      </c>
      <c r="D40" s="120">
        <v>2756.0999995609955</v>
      </c>
      <c r="E40" s="120">
        <f t="shared" si="0"/>
        <v>0.42054179100345407</v>
      </c>
      <c r="F40" s="120">
        <v>1217.9914800000001</v>
      </c>
      <c r="G40" s="120">
        <v>2880.0999994899948</v>
      </c>
      <c r="H40" s="120">
        <f t="shared" si="1"/>
        <v>0.42289902441431926</v>
      </c>
      <c r="I40" s="120">
        <v>1268.23756</v>
      </c>
      <c r="J40" s="120">
        <v>3017.476189933996</v>
      </c>
      <c r="K40" s="120">
        <f t="shared" si="2"/>
        <v>0.42029745395530077</v>
      </c>
      <c r="L40" s="120">
        <v>1405.0174499999998</v>
      </c>
      <c r="M40" s="120">
        <v>3470.9333327409977</v>
      </c>
      <c r="N40" s="120">
        <f t="shared" si="3"/>
        <v>0.40479528567909911</v>
      </c>
      <c r="O40" s="120">
        <f t="shared" si="4"/>
        <v>0.3847952856790991</v>
      </c>
      <c r="P40" s="120">
        <f t="shared" si="5"/>
        <v>0.43289902441431927</v>
      </c>
      <c r="Q40" s="105">
        <f t="shared" si="6"/>
        <v>0.76959057135819819</v>
      </c>
      <c r="R40" s="105">
        <f t="shared" si="7"/>
        <v>0.86579804882863853</v>
      </c>
      <c r="S40" s="105" t="str">
        <f t="shared" si="8"/>
        <v>77% to 87%</v>
      </c>
    </row>
    <row r="41" spans="1:19">
      <c r="A41" t="s">
        <v>201</v>
      </c>
      <c r="B41" t="s">
        <v>365</v>
      </c>
      <c r="C41" s="120">
        <v>1587.9196509999995</v>
      </c>
      <c r="D41" s="120">
        <v>3507.6608329150049</v>
      </c>
      <c r="E41" s="120">
        <f t="shared" si="0"/>
        <v>0.45270045384643859</v>
      </c>
      <c r="F41" s="120">
        <v>1681.66686</v>
      </c>
      <c r="G41" s="120">
        <v>3741.0074996050062</v>
      </c>
      <c r="H41" s="120">
        <f t="shared" si="1"/>
        <v>0.44952245088457016</v>
      </c>
      <c r="I41" s="120">
        <v>1657.0840729999998</v>
      </c>
      <c r="J41" s="120">
        <v>3799.0749994980069</v>
      </c>
      <c r="K41" s="120">
        <f t="shared" si="2"/>
        <v>0.43618093173179251</v>
      </c>
      <c r="L41" s="120">
        <v>1665.5690849999999</v>
      </c>
      <c r="M41" s="120">
        <v>4012.2858327840036</v>
      </c>
      <c r="N41" s="120">
        <f t="shared" si="3"/>
        <v>0.41511725595190507</v>
      </c>
      <c r="O41" s="120">
        <f t="shared" si="4"/>
        <v>0.39511725595190506</v>
      </c>
      <c r="P41" s="120">
        <f t="shared" si="5"/>
        <v>0.4627004538464386</v>
      </c>
      <c r="Q41" s="105">
        <f t="shared" si="6"/>
        <v>0.79023451190381011</v>
      </c>
      <c r="R41" s="105">
        <f t="shared" si="7"/>
        <v>0.92540090769287719</v>
      </c>
      <c r="S41" s="105" t="str">
        <f t="shared" si="8"/>
        <v>79% to 93%</v>
      </c>
    </row>
    <row r="42" spans="1:19">
      <c r="A42" t="s">
        <v>303</v>
      </c>
      <c r="B42" t="s">
        <v>365</v>
      </c>
      <c r="C42" s="120">
        <v>1860.3175930000002</v>
      </c>
      <c r="D42" s="120">
        <v>4112.0106660300144</v>
      </c>
      <c r="E42" s="120">
        <f t="shared" si="0"/>
        <v>0.4524106925033986</v>
      </c>
      <c r="F42" s="120">
        <v>1880.2617</v>
      </c>
      <c r="G42" s="120">
        <v>4123.8306659850159</v>
      </c>
      <c r="H42" s="120">
        <f t="shared" si="1"/>
        <v>0.45595026864442839</v>
      </c>
      <c r="I42" s="120">
        <v>1834.4601370000005</v>
      </c>
      <c r="J42" s="120">
        <v>4050.9969992250144</v>
      </c>
      <c r="K42" s="120">
        <f t="shared" si="2"/>
        <v>0.45284164302045798</v>
      </c>
      <c r="L42" s="120">
        <v>1962.8549950000006</v>
      </c>
      <c r="M42" s="120">
        <v>4659.9269991570136</v>
      </c>
      <c r="N42" s="120">
        <f t="shared" si="3"/>
        <v>0.42122011682910127</v>
      </c>
      <c r="O42" s="120">
        <f t="shared" si="4"/>
        <v>0.40122011682910125</v>
      </c>
      <c r="P42" s="120">
        <f t="shared" si="5"/>
        <v>0.4659502686444284</v>
      </c>
      <c r="Q42" s="105">
        <f t="shared" si="6"/>
        <v>0.8024402336582025</v>
      </c>
      <c r="R42" s="105">
        <f t="shared" si="7"/>
        <v>0.9319005372888568</v>
      </c>
      <c r="S42" s="105" t="str">
        <f t="shared" si="8"/>
        <v>80% to 93%</v>
      </c>
    </row>
    <row r="43" spans="1:19">
      <c r="A43" t="s">
        <v>203</v>
      </c>
      <c r="B43" t="s">
        <v>365</v>
      </c>
      <c r="C43" s="120">
        <v>1047.4028099999998</v>
      </c>
      <c r="D43" s="120">
        <v>2513.599999559</v>
      </c>
      <c r="E43" s="120">
        <f t="shared" si="0"/>
        <v>0.41669430704318983</v>
      </c>
      <c r="F43" s="120">
        <v>1023.6412899999998</v>
      </c>
      <c r="G43" s="120">
        <v>2472.6499995260006</v>
      </c>
      <c r="H43" s="120">
        <f t="shared" si="1"/>
        <v>0.41398551764148939</v>
      </c>
      <c r="I43" s="120">
        <v>1015.7134899999999</v>
      </c>
      <c r="J43" s="120">
        <v>2462.6999995179985</v>
      </c>
      <c r="K43" s="120">
        <f t="shared" si="2"/>
        <v>0.41243898574686161</v>
      </c>
      <c r="L43" s="120">
        <v>797.19124999999997</v>
      </c>
      <c r="M43" s="120">
        <v>2045.1833329450008</v>
      </c>
      <c r="N43" s="120">
        <f t="shared" si="3"/>
        <v>0.38978962773575376</v>
      </c>
      <c r="O43" s="120">
        <f t="shared" si="4"/>
        <v>0.36978962773575375</v>
      </c>
      <c r="P43" s="120">
        <f t="shared" si="5"/>
        <v>0.42669430704318984</v>
      </c>
      <c r="Q43" s="105">
        <f t="shared" si="6"/>
        <v>0.73957925547150749</v>
      </c>
      <c r="R43" s="105">
        <f t="shared" si="7"/>
        <v>0.85338861408637967</v>
      </c>
      <c r="S43" s="105" t="str">
        <f t="shared" si="8"/>
        <v>74% to 85%</v>
      </c>
    </row>
    <row r="44" spans="1:19">
      <c r="A44" t="s">
        <v>175</v>
      </c>
      <c r="B44" t="s">
        <v>366</v>
      </c>
      <c r="C44" s="120">
        <v>77.875</v>
      </c>
      <c r="D44" s="120">
        <v>309.73333331999999</v>
      </c>
      <c r="E44" s="120">
        <f t="shared" ref="E44:E68" si="9">C44/D44</f>
        <v>0.25142595782399596</v>
      </c>
      <c r="F44" s="120">
        <v>82.125</v>
      </c>
      <c r="G44" s="120">
        <v>327.59999998599994</v>
      </c>
      <c r="H44" s="120">
        <f t="shared" ref="H44:H68" si="10">F44/G44</f>
        <v>0.25068681319752634</v>
      </c>
      <c r="I44" s="120">
        <v>68.25</v>
      </c>
      <c r="J44" s="120">
        <v>284.58333331799997</v>
      </c>
      <c r="K44" s="120">
        <f t="shared" ref="K44:K68" si="11">I44/J44</f>
        <v>0.23982430455172116</v>
      </c>
      <c r="L44" s="120">
        <v>50.5</v>
      </c>
      <c r="M44" s="120">
        <v>204.99999998499996</v>
      </c>
      <c r="N44" s="120">
        <f t="shared" ref="N44:N68" si="12">L44/M44</f>
        <v>0.24634146343265917</v>
      </c>
      <c r="O44" s="120">
        <f t="shared" ref="O44:O68" si="13">MIN(N44,K44,H44,E44)-0.02</f>
        <v>0.21982430455172117</v>
      </c>
      <c r="P44" s="120">
        <f t="shared" ref="P44:P68" si="14">MAX(N44,K44,H44,E44)+0.01</f>
        <v>0.26142595782399597</v>
      </c>
      <c r="Q44" s="105">
        <f t="shared" ref="Q44:Q68" si="15">O44*2</f>
        <v>0.43964860910344233</v>
      </c>
      <c r="R44" s="105">
        <f t="shared" ref="R44:R68" si="16">P44*2</f>
        <v>0.52285191564799194</v>
      </c>
      <c r="S44" s="105" t="str">
        <f t="shared" ref="S44:S68" si="17">TEXT(Q44,"0%")&amp;" to "&amp;TEXT(R44,"0%")</f>
        <v>44% to 52%</v>
      </c>
    </row>
    <row r="45" spans="1:19">
      <c r="A45" t="s">
        <v>177</v>
      </c>
      <c r="B45" t="s">
        <v>366</v>
      </c>
      <c r="C45" s="120">
        <v>734.125</v>
      </c>
      <c r="D45" s="120">
        <v>2355.0833332640004</v>
      </c>
      <c r="E45" s="120">
        <f t="shared" si="9"/>
        <v>0.31171933053534373</v>
      </c>
      <c r="F45" s="120">
        <v>602.47500000000002</v>
      </c>
      <c r="G45" s="120">
        <v>2057.8441666220001</v>
      </c>
      <c r="H45" s="120">
        <f t="shared" si="10"/>
        <v>0.2927699821843055</v>
      </c>
      <c r="I45" s="120">
        <v>547.25</v>
      </c>
      <c r="J45" s="120">
        <v>1743.4333332629999</v>
      </c>
      <c r="K45" s="120">
        <f t="shared" si="11"/>
        <v>0.31389212857125431</v>
      </c>
      <c r="L45" s="120">
        <v>597.24374999999998</v>
      </c>
      <c r="M45" s="120">
        <v>1765.0208332539999</v>
      </c>
      <c r="N45" s="120">
        <f t="shared" si="12"/>
        <v>0.33837773398907645</v>
      </c>
      <c r="O45" s="120">
        <f t="shared" si="13"/>
        <v>0.27276998218430548</v>
      </c>
      <c r="P45" s="120">
        <f t="shared" si="14"/>
        <v>0.34837773398907645</v>
      </c>
      <c r="Q45" s="105">
        <f t="shared" si="15"/>
        <v>0.54553996436861096</v>
      </c>
      <c r="R45" s="105">
        <f t="shared" si="16"/>
        <v>0.69675546797815291</v>
      </c>
      <c r="S45" s="105" t="str">
        <f t="shared" si="17"/>
        <v>55% to 70%</v>
      </c>
    </row>
    <row r="46" spans="1:19">
      <c r="A46" t="s">
        <v>179</v>
      </c>
      <c r="B46" t="s">
        <v>366</v>
      </c>
      <c r="C46" s="120">
        <v>82.125</v>
      </c>
      <c r="D46" s="120">
        <v>261.24999998999999</v>
      </c>
      <c r="E46" s="120">
        <f t="shared" si="9"/>
        <v>0.31435406699767865</v>
      </c>
      <c r="F46" s="120">
        <v>92.5</v>
      </c>
      <c r="G46" s="120">
        <v>268.41666666399999</v>
      </c>
      <c r="H46" s="120">
        <f t="shared" si="10"/>
        <v>0.34461347407979748</v>
      </c>
      <c r="I46" s="120">
        <v>107.75</v>
      </c>
      <c r="J46" s="120">
        <v>348.66666666399999</v>
      </c>
      <c r="K46" s="120">
        <f t="shared" si="11"/>
        <v>0.30903441682836741</v>
      </c>
      <c r="L46" s="120">
        <v>151</v>
      </c>
      <c r="M46" s="120">
        <v>665.91666666000003</v>
      </c>
      <c r="N46" s="120">
        <f t="shared" si="12"/>
        <v>0.22675509948919287</v>
      </c>
      <c r="O46" s="120">
        <f t="shared" si="13"/>
        <v>0.20675509948919288</v>
      </c>
      <c r="P46" s="120">
        <f t="shared" si="14"/>
        <v>0.35461347407979749</v>
      </c>
      <c r="Q46" s="105">
        <f t="shared" si="15"/>
        <v>0.41351019897838576</v>
      </c>
      <c r="R46" s="105">
        <f t="shared" si="16"/>
        <v>0.70922694815959497</v>
      </c>
      <c r="S46" s="105" t="str">
        <f t="shared" si="17"/>
        <v>41% to 71%</v>
      </c>
    </row>
    <row r="47" spans="1:19">
      <c r="A47" t="s">
        <v>180</v>
      </c>
      <c r="B47" t="s">
        <v>366</v>
      </c>
      <c r="C47" s="120">
        <v>38</v>
      </c>
      <c r="D47" s="120">
        <v>95.833333321999987</v>
      </c>
      <c r="E47" s="120">
        <f t="shared" si="9"/>
        <v>0.39652173917732786</v>
      </c>
      <c r="F47" s="120">
        <v>30.875</v>
      </c>
      <c r="G47" s="120">
        <v>103.999999996</v>
      </c>
      <c r="H47" s="120">
        <f t="shared" si="10"/>
        <v>0.29687500001141826</v>
      </c>
      <c r="I47" s="120">
        <v>44.6875</v>
      </c>
      <c r="J47" s="120">
        <v>191.74999999599999</v>
      </c>
      <c r="K47" s="120">
        <f t="shared" si="11"/>
        <v>0.23305084746248869</v>
      </c>
      <c r="L47" s="120">
        <v>45.375</v>
      </c>
      <c r="M47" s="120">
        <v>184.16666665999998</v>
      </c>
      <c r="N47" s="120">
        <f t="shared" si="12"/>
        <v>0.24638009050665632</v>
      </c>
      <c r="O47" s="120">
        <f t="shared" si="13"/>
        <v>0.2130508474624887</v>
      </c>
      <c r="P47" s="120">
        <f t="shared" si="14"/>
        <v>0.40652173917732787</v>
      </c>
      <c r="Q47" s="105">
        <f t="shared" si="15"/>
        <v>0.4261016949249774</v>
      </c>
      <c r="R47" s="105">
        <f t="shared" si="16"/>
        <v>0.81304347835465574</v>
      </c>
      <c r="S47" s="105" t="str">
        <f t="shared" si="17"/>
        <v>43% to 81%</v>
      </c>
    </row>
    <row r="48" spans="1:19">
      <c r="A48" t="s">
        <v>178</v>
      </c>
      <c r="B48" t="s">
        <v>366</v>
      </c>
      <c r="C48" s="120">
        <v>29.875</v>
      </c>
      <c r="D48" s="120">
        <v>78.833333317999973</v>
      </c>
      <c r="E48" s="120">
        <f t="shared" si="9"/>
        <v>0.37896405927032717</v>
      </c>
      <c r="F48" s="120">
        <v>40.625</v>
      </c>
      <c r="G48" s="120">
        <v>99.66666664899995</v>
      </c>
      <c r="H48" s="120">
        <f t="shared" si="10"/>
        <v>0.40760869572442582</v>
      </c>
      <c r="I48" s="120">
        <v>34.625</v>
      </c>
      <c r="J48" s="120">
        <v>97.416666660999965</v>
      </c>
      <c r="K48" s="120">
        <f t="shared" si="11"/>
        <v>0.35543199317721946</v>
      </c>
      <c r="L48" s="120">
        <v>26.125</v>
      </c>
      <c r="M48" s="120">
        <v>86.999999986999967</v>
      </c>
      <c r="N48" s="120">
        <f t="shared" si="12"/>
        <v>0.30028735636670972</v>
      </c>
      <c r="O48" s="120">
        <f t="shared" si="13"/>
        <v>0.28028735636670971</v>
      </c>
      <c r="P48" s="120">
        <f t="shared" si="14"/>
        <v>0.41760869572442583</v>
      </c>
      <c r="Q48" s="105">
        <f t="shared" si="15"/>
        <v>0.56057471273341941</v>
      </c>
      <c r="R48" s="105">
        <f t="shared" si="16"/>
        <v>0.83521739144885165</v>
      </c>
      <c r="S48" s="105" t="str">
        <f t="shared" si="17"/>
        <v>56% to 84%</v>
      </c>
    </row>
    <row r="49" spans="1:19">
      <c r="A49" t="s">
        <v>181</v>
      </c>
      <c r="B49" t="s">
        <v>366</v>
      </c>
      <c r="C49" s="120">
        <v>58.25</v>
      </c>
      <c r="D49" s="120">
        <v>172.66666666099999</v>
      </c>
      <c r="E49" s="120">
        <f t="shared" si="9"/>
        <v>0.33735521236628385</v>
      </c>
      <c r="F49" s="120">
        <v>31.125</v>
      </c>
      <c r="G49" s="120">
        <v>93.333333312999983</v>
      </c>
      <c r="H49" s="120">
        <f t="shared" si="10"/>
        <v>0.33348214292979439</v>
      </c>
      <c r="I49" s="120">
        <v>41.875</v>
      </c>
      <c r="J49" s="120">
        <v>101.08333330499991</v>
      </c>
      <c r="K49" s="120">
        <f t="shared" si="11"/>
        <v>0.41426216005016453</v>
      </c>
      <c r="L49" s="120">
        <v>42.25</v>
      </c>
      <c r="M49" s="120">
        <v>105.58333331499995</v>
      </c>
      <c r="N49" s="120">
        <f t="shared" si="12"/>
        <v>0.40015785326601022</v>
      </c>
      <c r="O49" s="120">
        <f t="shared" si="13"/>
        <v>0.31348214292979437</v>
      </c>
      <c r="P49" s="120">
        <f t="shared" si="14"/>
        <v>0.42426216005016454</v>
      </c>
      <c r="Q49" s="105">
        <f t="shared" si="15"/>
        <v>0.62696428585958874</v>
      </c>
      <c r="R49" s="105">
        <f t="shared" si="16"/>
        <v>0.84852432010032908</v>
      </c>
      <c r="S49" s="105" t="str">
        <f t="shared" si="17"/>
        <v>63% to 85%</v>
      </c>
    </row>
    <row r="50" spans="1:19">
      <c r="A50" t="s">
        <v>182</v>
      </c>
      <c r="B50" t="s">
        <v>366</v>
      </c>
      <c r="C50" s="120">
        <v>54.0625</v>
      </c>
      <c r="D50" s="120">
        <v>146.41666664199997</v>
      </c>
      <c r="E50" s="120">
        <f t="shared" si="9"/>
        <v>0.36923733643101558</v>
      </c>
      <c r="F50" s="120">
        <v>47.8125</v>
      </c>
      <c r="G50" s="120">
        <v>129.16666665099996</v>
      </c>
      <c r="H50" s="120">
        <f t="shared" si="10"/>
        <v>0.37016129036747775</v>
      </c>
      <c r="I50" s="120">
        <v>54.125</v>
      </c>
      <c r="J50" s="120">
        <v>149.33333330299996</v>
      </c>
      <c r="K50" s="120">
        <f t="shared" si="11"/>
        <v>0.36244419650219301</v>
      </c>
      <c r="L50" s="120">
        <v>45.5</v>
      </c>
      <c r="M50" s="120">
        <v>133.83333331799997</v>
      </c>
      <c r="N50" s="120">
        <f t="shared" si="12"/>
        <v>0.33997509343870208</v>
      </c>
      <c r="O50" s="120">
        <f t="shared" si="13"/>
        <v>0.31997509343870206</v>
      </c>
      <c r="P50" s="120">
        <f t="shared" si="14"/>
        <v>0.38016129036747776</v>
      </c>
      <c r="Q50" s="105">
        <f t="shared" si="15"/>
        <v>0.63995018687740413</v>
      </c>
      <c r="R50" s="105">
        <f t="shared" si="16"/>
        <v>0.76032258073495551</v>
      </c>
      <c r="S50" s="105" t="str">
        <f t="shared" si="17"/>
        <v>64% to 76%</v>
      </c>
    </row>
    <row r="51" spans="1:19">
      <c r="A51" t="s">
        <v>187</v>
      </c>
      <c r="B51" t="s">
        <v>366</v>
      </c>
      <c r="C51" s="120">
        <v>293.25</v>
      </c>
      <c r="D51" s="120">
        <v>829.93333326499999</v>
      </c>
      <c r="E51" s="120">
        <f t="shared" si="9"/>
        <v>0.35334163389526668</v>
      </c>
      <c r="F51" s="120">
        <v>275.47500000000002</v>
      </c>
      <c r="G51" s="120">
        <v>1033.6499999210005</v>
      </c>
      <c r="H51" s="120">
        <f t="shared" si="10"/>
        <v>0.26650703818609195</v>
      </c>
      <c r="I51" s="120">
        <v>370.625</v>
      </c>
      <c r="J51" s="120">
        <v>1672.7666665860006</v>
      </c>
      <c r="K51" s="120">
        <f t="shared" si="11"/>
        <v>0.22156407549441406</v>
      </c>
      <c r="L51" s="120">
        <v>366.25</v>
      </c>
      <c r="M51" s="120">
        <v>1853.9833332680005</v>
      </c>
      <c r="N51" s="120">
        <f t="shared" si="12"/>
        <v>0.19754762269324949</v>
      </c>
      <c r="O51" s="120">
        <f t="shared" si="13"/>
        <v>0.1775476226932495</v>
      </c>
      <c r="P51" s="120">
        <f t="shared" si="14"/>
        <v>0.36334163389526669</v>
      </c>
      <c r="Q51" s="105">
        <f t="shared" si="15"/>
        <v>0.355095245386499</v>
      </c>
      <c r="R51" s="105">
        <f t="shared" si="16"/>
        <v>0.72668326779053338</v>
      </c>
      <c r="S51" s="105" t="str">
        <f t="shared" si="17"/>
        <v>36% to 73%</v>
      </c>
    </row>
    <row r="52" spans="1:19">
      <c r="A52" t="s">
        <v>188</v>
      </c>
      <c r="B52" t="s">
        <v>366</v>
      </c>
      <c r="C52" s="120">
        <v>98.9</v>
      </c>
      <c r="D52" s="120">
        <v>322.03333331699992</v>
      </c>
      <c r="E52" s="120">
        <f t="shared" si="9"/>
        <v>0.30711106512270836</v>
      </c>
      <c r="F52" s="120">
        <v>113.02500000000001</v>
      </c>
      <c r="G52" s="120">
        <v>490.43333331499997</v>
      </c>
      <c r="H52" s="120">
        <f t="shared" si="10"/>
        <v>0.23045945763112574</v>
      </c>
      <c r="I52" s="120">
        <v>113.875</v>
      </c>
      <c r="J52" s="120">
        <v>509.66666663799992</v>
      </c>
      <c r="K52" s="120">
        <f t="shared" si="11"/>
        <v>0.22343034664435255</v>
      </c>
      <c r="L52" s="120">
        <v>126.875</v>
      </c>
      <c r="M52" s="120">
        <v>667.54999998099993</v>
      </c>
      <c r="N52" s="120">
        <f t="shared" si="12"/>
        <v>0.19006066961817267</v>
      </c>
      <c r="O52" s="120">
        <f t="shared" si="13"/>
        <v>0.17006066961817268</v>
      </c>
      <c r="P52" s="120">
        <f t="shared" si="14"/>
        <v>0.31711106512270837</v>
      </c>
      <c r="Q52" s="105">
        <f t="shared" si="15"/>
        <v>0.34012133923634535</v>
      </c>
      <c r="R52" s="105">
        <f t="shared" si="16"/>
        <v>0.63422213024541674</v>
      </c>
      <c r="S52" s="105" t="str">
        <f t="shared" si="17"/>
        <v>34% to 63%</v>
      </c>
    </row>
    <row r="53" spans="1:19">
      <c r="A53" t="s">
        <v>367</v>
      </c>
      <c r="B53" t="s">
        <v>366</v>
      </c>
      <c r="C53" s="120">
        <v>23.5</v>
      </c>
      <c r="D53" s="120">
        <v>86.316666661999989</v>
      </c>
      <c r="E53" s="120">
        <f t="shared" si="9"/>
        <v>0.27225333077355302</v>
      </c>
      <c r="F53" s="120">
        <v>18.625</v>
      </c>
      <c r="G53" s="120">
        <v>77.59999999499999</v>
      </c>
      <c r="H53" s="120">
        <f t="shared" si="10"/>
        <v>0.24001288661340292</v>
      </c>
      <c r="I53" s="120">
        <v>17</v>
      </c>
      <c r="J53" s="120">
        <v>67.749999995999985</v>
      </c>
      <c r="K53" s="120">
        <f t="shared" si="11"/>
        <v>0.25092250923990694</v>
      </c>
      <c r="L53" s="120">
        <v>14.125</v>
      </c>
      <c r="M53" s="120">
        <v>75.666666665000008</v>
      </c>
      <c r="N53" s="120">
        <f t="shared" si="12"/>
        <v>0.18667400881468443</v>
      </c>
      <c r="O53" s="120">
        <f t="shared" si="13"/>
        <v>0.16667400881468444</v>
      </c>
      <c r="P53" s="120">
        <f t="shared" si="14"/>
        <v>0.28225333077355302</v>
      </c>
      <c r="Q53" s="105">
        <f t="shared" si="15"/>
        <v>0.33334801762936889</v>
      </c>
      <c r="R53" s="105">
        <f t="shared" si="16"/>
        <v>0.56450666154710605</v>
      </c>
      <c r="S53" s="105" t="str">
        <f t="shared" si="17"/>
        <v>33% to 56%</v>
      </c>
    </row>
    <row r="54" spans="1:19">
      <c r="A54" t="s">
        <v>185</v>
      </c>
      <c r="B54" t="s">
        <v>366</v>
      </c>
      <c r="C54" s="120">
        <v>72.875</v>
      </c>
      <c r="D54" s="120">
        <v>251.48333332699997</v>
      </c>
      <c r="E54" s="120">
        <f t="shared" si="9"/>
        <v>0.2897806349068936</v>
      </c>
      <c r="F54" s="120">
        <v>64.375</v>
      </c>
      <c r="G54" s="120">
        <v>230.88333332399998</v>
      </c>
      <c r="H54" s="120">
        <f t="shared" si="10"/>
        <v>0.27882047211117733</v>
      </c>
      <c r="I54" s="120">
        <v>65.625</v>
      </c>
      <c r="J54" s="120">
        <v>219.88333332099998</v>
      </c>
      <c r="K54" s="120">
        <f t="shared" si="11"/>
        <v>0.29845372547721188</v>
      </c>
      <c r="L54" s="120">
        <v>78.5</v>
      </c>
      <c r="M54" s="120">
        <v>297.98333331599997</v>
      </c>
      <c r="N54" s="120">
        <f t="shared" si="12"/>
        <v>0.26343755245114242</v>
      </c>
      <c r="O54" s="120">
        <f t="shared" si="13"/>
        <v>0.24343755245114243</v>
      </c>
      <c r="P54" s="120">
        <f t="shared" si="14"/>
        <v>0.30845372547721189</v>
      </c>
      <c r="Q54" s="105">
        <f t="shared" si="15"/>
        <v>0.48687510490228486</v>
      </c>
      <c r="R54" s="105">
        <f t="shared" si="16"/>
        <v>0.61690745095442379</v>
      </c>
      <c r="S54" s="105" t="str">
        <f t="shared" si="17"/>
        <v>49% to 62%</v>
      </c>
    </row>
    <row r="55" spans="1:19">
      <c r="A55" t="s">
        <v>184</v>
      </c>
      <c r="B55" t="s">
        <v>366</v>
      </c>
      <c r="C55" s="120">
        <v>164.27500000000001</v>
      </c>
      <c r="D55" s="120">
        <v>485.56666663099998</v>
      </c>
      <c r="E55" s="120">
        <f t="shared" si="9"/>
        <v>0.33831605686565513</v>
      </c>
      <c r="F55" s="120">
        <v>187.09167000000002</v>
      </c>
      <c r="G55" s="120">
        <v>693.999999968</v>
      </c>
      <c r="H55" s="120">
        <f t="shared" si="10"/>
        <v>0.26958453891732959</v>
      </c>
      <c r="I55" s="120">
        <v>217.35</v>
      </c>
      <c r="J55" s="120">
        <v>926.53333329799989</v>
      </c>
      <c r="K55" s="120">
        <f t="shared" si="11"/>
        <v>0.23458411283093467</v>
      </c>
      <c r="L55" s="120">
        <v>185.375</v>
      </c>
      <c r="M55" s="120">
        <v>866.83333330400001</v>
      </c>
      <c r="N55" s="120">
        <f t="shared" si="12"/>
        <v>0.21385310517931899</v>
      </c>
      <c r="O55" s="120">
        <f t="shared" si="13"/>
        <v>0.193853105179319</v>
      </c>
      <c r="P55" s="120">
        <f t="shared" si="14"/>
        <v>0.34831605686565514</v>
      </c>
      <c r="Q55" s="105">
        <f t="shared" si="15"/>
        <v>0.387706210358638</v>
      </c>
      <c r="R55" s="105">
        <f t="shared" si="16"/>
        <v>0.69663211373131029</v>
      </c>
      <c r="S55" s="105" t="str">
        <f t="shared" si="17"/>
        <v>39% to 70%</v>
      </c>
    </row>
    <row r="56" spans="1:19">
      <c r="A56" t="s">
        <v>189</v>
      </c>
      <c r="B56" t="s">
        <v>366</v>
      </c>
      <c r="C56" s="120">
        <v>106.5</v>
      </c>
      <c r="D56" s="120">
        <v>321.08333331200004</v>
      </c>
      <c r="E56" s="120">
        <f t="shared" si="9"/>
        <v>0.33168959254734293</v>
      </c>
      <c r="F56" s="120">
        <v>120.75</v>
      </c>
      <c r="G56" s="120">
        <v>452.63333330099994</v>
      </c>
      <c r="H56" s="120">
        <f t="shared" si="10"/>
        <v>0.26677222183215032</v>
      </c>
      <c r="I56" s="120">
        <v>185.875</v>
      </c>
      <c r="J56" s="120">
        <v>834.53333330399983</v>
      </c>
      <c r="K56" s="120">
        <f t="shared" si="11"/>
        <v>0.2227292698592428</v>
      </c>
      <c r="L56" s="120">
        <v>195.5</v>
      </c>
      <c r="M56" s="120">
        <v>946.51666664699997</v>
      </c>
      <c r="N56" s="120">
        <f t="shared" si="12"/>
        <v>0.20654681199914995</v>
      </c>
      <c r="O56" s="120">
        <f t="shared" si="13"/>
        <v>0.18654681199914996</v>
      </c>
      <c r="P56" s="120">
        <f t="shared" si="14"/>
        <v>0.34168959254734294</v>
      </c>
      <c r="Q56" s="105">
        <f t="shared" si="15"/>
        <v>0.37309362399829993</v>
      </c>
      <c r="R56" s="105">
        <f t="shared" si="16"/>
        <v>0.68337918509468587</v>
      </c>
      <c r="S56" s="105" t="str">
        <f t="shared" si="17"/>
        <v>37% to 68%</v>
      </c>
    </row>
    <row r="57" spans="1:19">
      <c r="A57" t="s">
        <v>186</v>
      </c>
      <c r="B57" t="s">
        <v>366</v>
      </c>
      <c r="C57" s="120">
        <v>158</v>
      </c>
      <c r="D57" s="120">
        <v>358.58333332400002</v>
      </c>
      <c r="E57" s="120">
        <f t="shared" si="9"/>
        <v>0.44062282129894254</v>
      </c>
      <c r="F57" s="120">
        <v>113.625</v>
      </c>
      <c r="G57" s="120">
        <v>266.31666665800003</v>
      </c>
      <c r="H57" s="120">
        <f t="shared" si="10"/>
        <v>0.4266537330384792</v>
      </c>
      <c r="I57" s="120">
        <v>143.875</v>
      </c>
      <c r="J57" s="120">
        <v>314.883333322</v>
      </c>
      <c r="K57" s="120">
        <f t="shared" si="11"/>
        <v>0.45691525963641044</v>
      </c>
      <c r="L57" s="120">
        <v>166.125</v>
      </c>
      <c r="M57" s="120">
        <v>358.91666665200012</v>
      </c>
      <c r="N57" s="120">
        <f t="shared" si="12"/>
        <v>0.46285117252878133</v>
      </c>
      <c r="O57" s="120">
        <f t="shared" si="13"/>
        <v>0.40665373303847918</v>
      </c>
      <c r="P57" s="120">
        <f t="shared" si="14"/>
        <v>0.47285117252878134</v>
      </c>
      <c r="Q57" s="105">
        <f t="shared" si="15"/>
        <v>0.81330746607695836</v>
      </c>
      <c r="R57" s="105">
        <f t="shared" si="16"/>
        <v>0.94570234505756268</v>
      </c>
      <c r="S57" s="105" t="str">
        <f t="shared" si="17"/>
        <v>81% to 95%</v>
      </c>
    </row>
    <row r="58" spans="1:19">
      <c r="A58" t="s">
        <v>191</v>
      </c>
      <c r="B58" t="s">
        <v>366</v>
      </c>
      <c r="C58" s="120">
        <v>281.4375</v>
      </c>
      <c r="D58" s="120">
        <v>689.51666663700007</v>
      </c>
      <c r="E58" s="120">
        <f t="shared" si="9"/>
        <v>0.4081663484258668</v>
      </c>
      <c r="F58" s="120">
        <v>271.6875</v>
      </c>
      <c r="G58" s="120">
        <v>675.16666664700028</v>
      </c>
      <c r="H58" s="120">
        <f t="shared" si="10"/>
        <v>0.40240064182855656</v>
      </c>
      <c r="I58" s="120">
        <v>277.75</v>
      </c>
      <c r="J58" s="120">
        <v>708.0166666560001</v>
      </c>
      <c r="K58" s="120">
        <f t="shared" si="11"/>
        <v>0.39229302512302122</v>
      </c>
      <c r="L58" s="120">
        <v>287.375</v>
      </c>
      <c r="M58" s="120">
        <v>774.83333330500034</v>
      </c>
      <c r="N58" s="120">
        <f t="shared" si="12"/>
        <v>0.37088621210218325</v>
      </c>
      <c r="O58" s="120">
        <f t="shared" si="13"/>
        <v>0.35088621210218324</v>
      </c>
      <c r="P58" s="120">
        <f t="shared" si="14"/>
        <v>0.41816634842586681</v>
      </c>
      <c r="Q58" s="105">
        <f t="shared" si="15"/>
        <v>0.70177242420436647</v>
      </c>
      <c r="R58" s="105">
        <f t="shared" si="16"/>
        <v>0.83633269685173361</v>
      </c>
      <c r="S58" s="105" t="str">
        <f t="shared" si="17"/>
        <v>70% to 84%</v>
      </c>
    </row>
    <row r="59" spans="1:19">
      <c r="A59" t="s">
        <v>192</v>
      </c>
      <c r="B59" t="s">
        <v>366</v>
      </c>
      <c r="C59" s="120">
        <v>188.25</v>
      </c>
      <c r="D59" s="120">
        <v>386.24999999900007</v>
      </c>
      <c r="E59" s="120">
        <f t="shared" si="9"/>
        <v>0.48737864077796078</v>
      </c>
      <c r="F59" s="120">
        <v>235.6875</v>
      </c>
      <c r="G59" s="120">
        <v>482.66666666600003</v>
      </c>
      <c r="H59" s="120">
        <f t="shared" si="10"/>
        <v>0.48830283149238712</v>
      </c>
      <c r="I59" s="120">
        <v>236.375</v>
      </c>
      <c r="J59" s="120">
        <v>483.49999999900001</v>
      </c>
      <c r="K59" s="120">
        <f t="shared" si="11"/>
        <v>0.48888314374454783</v>
      </c>
      <c r="L59" s="120">
        <v>231.375</v>
      </c>
      <c r="M59" s="120">
        <v>469.75</v>
      </c>
      <c r="N59" s="120">
        <f t="shared" si="12"/>
        <v>0.49254922831293241</v>
      </c>
      <c r="O59" s="120">
        <f t="shared" si="13"/>
        <v>0.46737864077796076</v>
      </c>
      <c r="P59" s="120">
        <f t="shared" si="14"/>
        <v>0.50254922831293236</v>
      </c>
      <c r="Q59" s="105">
        <f t="shared" si="15"/>
        <v>0.93475728155592153</v>
      </c>
      <c r="R59" s="105">
        <f t="shared" si="16"/>
        <v>1.0050984566258647</v>
      </c>
      <c r="S59" s="105" t="str">
        <f t="shared" si="17"/>
        <v>93% to 101%</v>
      </c>
    </row>
    <row r="60" spans="1:19">
      <c r="A60" t="s">
        <v>194</v>
      </c>
      <c r="B60" t="s">
        <v>366</v>
      </c>
      <c r="C60" s="120">
        <v>272.3125</v>
      </c>
      <c r="D60" s="120">
        <v>888.41666662200021</v>
      </c>
      <c r="E60" s="120">
        <f t="shared" si="9"/>
        <v>0.30651439828949356</v>
      </c>
      <c r="F60" s="120">
        <v>317.375</v>
      </c>
      <c r="G60" s="120">
        <v>1066.3999999310004</v>
      </c>
      <c r="H60" s="120">
        <f t="shared" si="10"/>
        <v>0.29761346588572318</v>
      </c>
      <c r="I60" s="120">
        <v>360.75</v>
      </c>
      <c r="J60" s="120">
        <v>1173.1833332649999</v>
      </c>
      <c r="K60" s="120">
        <f t="shared" si="11"/>
        <v>0.30749669703883648</v>
      </c>
      <c r="L60" s="120">
        <v>319.875</v>
      </c>
      <c r="M60" s="120">
        <v>1079.1666666029998</v>
      </c>
      <c r="N60" s="120">
        <f t="shared" si="12"/>
        <v>0.29640926642675347</v>
      </c>
      <c r="O60" s="120">
        <f t="shared" si="13"/>
        <v>0.27640926642675345</v>
      </c>
      <c r="P60" s="120">
        <f t="shared" si="14"/>
        <v>0.31749669703883648</v>
      </c>
      <c r="Q60" s="105">
        <f t="shared" si="15"/>
        <v>0.55281853285350691</v>
      </c>
      <c r="R60" s="105">
        <f t="shared" si="16"/>
        <v>0.63499339407767297</v>
      </c>
      <c r="S60" s="105" t="str">
        <f t="shared" si="17"/>
        <v>55% to 63%</v>
      </c>
    </row>
    <row r="61" spans="1:19">
      <c r="A61" t="s">
        <v>195</v>
      </c>
      <c r="B61" t="s">
        <v>366</v>
      </c>
      <c r="C61" s="120">
        <v>505.375</v>
      </c>
      <c r="D61" s="120">
        <v>1253.0499999620001</v>
      </c>
      <c r="E61" s="120">
        <f t="shared" si="9"/>
        <v>0.40331590919382782</v>
      </c>
      <c r="F61" s="120">
        <v>763</v>
      </c>
      <c r="G61" s="120">
        <v>1800.8499999629994</v>
      </c>
      <c r="H61" s="120">
        <f t="shared" si="10"/>
        <v>0.42368881362449773</v>
      </c>
      <c r="I61" s="120">
        <v>923.375</v>
      </c>
      <c r="J61" s="120">
        <v>2262.9499999530008</v>
      </c>
      <c r="K61" s="120">
        <f t="shared" si="11"/>
        <v>0.40804038976520807</v>
      </c>
      <c r="L61" s="120">
        <v>979.38750000000005</v>
      </c>
      <c r="M61" s="120">
        <v>2487.4666666040011</v>
      </c>
      <c r="N61" s="120">
        <f t="shared" si="12"/>
        <v>0.39372889419945589</v>
      </c>
      <c r="O61" s="120">
        <f t="shared" si="13"/>
        <v>0.37372889419945587</v>
      </c>
      <c r="P61" s="120">
        <f t="shared" si="14"/>
        <v>0.43368881362449774</v>
      </c>
      <c r="Q61" s="105">
        <f t="shared" si="15"/>
        <v>0.74745778839891175</v>
      </c>
      <c r="R61" s="105">
        <f t="shared" si="16"/>
        <v>0.86737762724899548</v>
      </c>
      <c r="S61" s="105" t="str">
        <f t="shared" si="17"/>
        <v>75% to 87%</v>
      </c>
    </row>
    <row r="62" spans="1:19">
      <c r="A62" t="s">
        <v>196</v>
      </c>
      <c r="B62" t="s">
        <v>366</v>
      </c>
      <c r="C62" s="120">
        <v>13.25</v>
      </c>
      <c r="D62" s="120">
        <v>43.916666660999994</v>
      </c>
      <c r="E62" s="120">
        <f t="shared" si="9"/>
        <v>0.30170777992507808</v>
      </c>
      <c r="F62" s="120">
        <v>3</v>
      </c>
      <c r="G62" s="120">
        <v>7.2333333319999999</v>
      </c>
      <c r="H62" s="120">
        <f t="shared" si="10"/>
        <v>0.41474654385525284</v>
      </c>
      <c r="I62" s="120">
        <v>1.5</v>
      </c>
      <c r="J62" s="120">
        <v>3.7499999990000004</v>
      </c>
      <c r="K62" s="120">
        <f t="shared" si="11"/>
        <v>0.40000000010666664</v>
      </c>
      <c r="L62" s="120">
        <v>2.125</v>
      </c>
      <c r="M62" s="120">
        <v>4.9166666660000002</v>
      </c>
      <c r="N62" s="120">
        <f t="shared" si="12"/>
        <v>0.43220338988911228</v>
      </c>
      <c r="O62" s="120">
        <f t="shared" si="13"/>
        <v>0.28170777992507806</v>
      </c>
      <c r="P62" s="120">
        <f t="shared" si="14"/>
        <v>0.44220338988911229</v>
      </c>
      <c r="Q62" s="105">
        <f t="shared" si="15"/>
        <v>0.56341555985015612</v>
      </c>
      <c r="R62" s="105">
        <f t="shared" si="16"/>
        <v>0.88440677977822457</v>
      </c>
      <c r="S62" s="105" t="str">
        <f t="shared" si="17"/>
        <v>56% to 88%</v>
      </c>
    </row>
    <row r="63" spans="1:19">
      <c r="A63" t="s">
        <v>197</v>
      </c>
      <c r="B63" t="s">
        <v>366</v>
      </c>
      <c r="C63" s="120">
        <v>144.625</v>
      </c>
      <c r="D63" s="120">
        <v>656.04999997300001</v>
      </c>
      <c r="E63" s="120">
        <f t="shared" si="9"/>
        <v>0.22044813658402881</v>
      </c>
      <c r="F63" s="120">
        <v>141.375</v>
      </c>
      <c r="G63" s="120">
        <v>646.08333331100005</v>
      </c>
      <c r="H63" s="120">
        <f t="shared" si="10"/>
        <v>0.21881852187006878</v>
      </c>
      <c r="I63" s="120">
        <v>153.625</v>
      </c>
      <c r="J63" s="120">
        <v>686.33333330599987</v>
      </c>
      <c r="K63" s="120">
        <f t="shared" si="11"/>
        <v>0.22383438563300365</v>
      </c>
      <c r="L63" s="120">
        <v>133.875</v>
      </c>
      <c r="M63" s="120">
        <v>653.58333330699998</v>
      </c>
      <c r="N63" s="120">
        <f t="shared" si="12"/>
        <v>0.20483233457410774</v>
      </c>
      <c r="O63" s="120">
        <f t="shared" si="13"/>
        <v>0.18483233457410775</v>
      </c>
      <c r="P63" s="120">
        <f t="shared" si="14"/>
        <v>0.23383438563300366</v>
      </c>
      <c r="Q63" s="105">
        <f t="shared" si="15"/>
        <v>0.3696646691482155</v>
      </c>
      <c r="R63" s="105">
        <f t="shared" si="16"/>
        <v>0.46766877126600731</v>
      </c>
      <c r="S63" s="105" t="str">
        <f t="shared" si="17"/>
        <v>37% to 47%</v>
      </c>
    </row>
    <row r="64" spans="1:19">
      <c r="A64" t="s">
        <v>198</v>
      </c>
      <c r="B64" t="s">
        <v>366</v>
      </c>
      <c r="C64" s="120">
        <v>99.4375</v>
      </c>
      <c r="D64" s="120">
        <v>219.41666665799997</v>
      </c>
      <c r="E64" s="120">
        <f t="shared" si="9"/>
        <v>0.45319027726818534</v>
      </c>
      <c r="F64" s="120">
        <v>98.1875</v>
      </c>
      <c r="G64" s="120">
        <v>213.99999999600001</v>
      </c>
      <c r="H64" s="120">
        <f t="shared" si="10"/>
        <v>0.45882009346651997</v>
      </c>
      <c r="I64" s="120">
        <v>83.1875</v>
      </c>
      <c r="J64" s="120">
        <v>185.49999999399998</v>
      </c>
      <c r="K64" s="120">
        <f t="shared" si="11"/>
        <v>0.44845013478539469</v>
      </c>
      <c r="L64" s="120">
        <v>72.6875</v>
      </c>
      <c r="M64" s="120">
        <v>155.69999999199999</v>
      </c>
      <c r="N64" s="120">
        <f t="shared" si="12"/>
        <v>0.46684328839906714</v>
      </c>
      <c r="O64" s="120">
        <f t="shared" si="13"/>
        <v>0.42845013478539468</v>
      </c>
      <c r="P64" s="120">
        <f t="shared" si="14"/>
        <v>0.47684328839906714</v>
      </c>
      <c r="Q64" s="105">
        <f t="shared" si="15"/>
        <v>0.85690026957078935</v>
      </c>
      <c r="R64" s="105">
        <f t="shared" si="16"/>
        <v>0.95368657679813429</v>
      </c>
      <c r="S64" s="105" t="str">
        <f t="shared" si="17"/>
        <v>86% to 95%</v>
      </c>
    </row>
    <row r="65" spans="1:19">
      <c r="A65" t="s">
        <v>199</v>
      </c>
      <c r="B65" t="s">
        <v>366</v>
      </c>
      <c r="C65" s="120">
        <v>98.6875</v>
      </c>
      <c r="D65" s="120">
        <v>274.33333329599998</v>
      </c>
      <c r="E65" s="120">
        <f t="shared" si="9"/>
        <v>0.35973572301371864</v>
      </c>
      <c r="F65" s="120">
        <v>84.0625</v>
      </c>
      <c r="G65" s="120">
        <v>231.99999996999998</v>
      </c>
      <c r="H65" s="120">
        <f t="shared" si="10"/>
        <v>0.36233836211581966</v>
      </c>
      <c r="I65" s="120">
        <v>68.625</v>
      </c>
      <c r="J65" s="120">
        <v>195.99999998100003</v>
      </c>
      <c r="K65" s="120">
        <f t="shared" si="11"/>
        <v>0.35012755105434906</v>
      </c>
      <c r="L65" s="120">
        <v>68.6875</v>
      </c>
      <c r="M65" s="120">
        <v>189.99999997999996</v>
      </c>
      <c r="N65" s="120">
        <f t="shared" si="12"/>
        <v>0.36151315793279093</v>
      </c>
      <c r="O65" s="120">
        <f t="shared" si="13"/>
        <v>0.33012755105434904</v>
      </c>
      <c r="P65" s="120">
        <f t="shared" si="14"/>
        <v>0.37233836211581967</v>
      </c>
      <c r="Q65" s="105">
        <f t="shared" si="15"/>
        <v>0.66025510210869809</v>
      </c>
      <c r="R65" s="105">
        <f t="shared" si="16"/>
        <v>0.74467672423163933</v>
      </c>
      <c r="S65" s="105" t="str">
        <f t="shared" si="17"/>
        <v>66% to 74%</v>
      </c>
    </row>
    <row r="66" spans="1:19">
      <c r="A66" t="s">
        <v>201</v>
      </c>
      <c r="B66" t="s">
        <v>366</v>
      </c>
      <c r="C66" s="120">
        <v>375.875</v>
      </c>
      <c r="D66" s="120">
        <v>1007.4166665840006</v>
      </c>
      <c r="E66" s="120">
        <f t="shared" si="9"/>
        <v>0.37310778396642569</v>
      </c>
      <c r="F66" s="120">
        <v>384.91875000000005</v>
      </c>
      <c r="G66" s="120">
        <v>1024.4266665970006</v>
      </c>
      <c r="H66" s="120">
        <f t="shared" si="10"/>
        <v>0.37574065821484842</v>
      </c>
      <c r="I66" s="120">
        <v>358.97124999999994</v>
      </c>
      <c r="J66" s="120">
        <v>979.80883324000035</v>
      </c>
      <c r="K66" s="120">
        <f t="shared" si="11"/>
        <v>0.36636866072432245</v>
      </c>
      <c r="L66" s="120">
        <v>313.05250000000001</v>
      </c>
      <c r="M66" s="120">
        <v>810.51599992599995</v>
      </c>
      <c r="N66" s="120">
        <f t="shared" si="12"/>
        <v>0.38623851969434492</v>
      </c>
      <c r="O66" s="120">
        <f t="shared" si="13"/>
        <v>0.34636866072432243</v>
      </c>
      <c r="P66" s="120">
        <f t="shared" si="14"/>
        <v>0.39623851969434493</v>
      </c>
      <c r="Q66" s="105">
        <f t="shared" si="15"/>
        <v>0.69273732144864486</v>
      </c>
      <c r="R66" s="105">
        <f t="shared" si="16"/>
        <v>0.79247703938868985</v>
      </c>
      <c r="S66" s="105" t="str">
        <f t="shared" si="17"/>
        <v>69% to 79%</v>
      </c>
    </row>
    <row r="67" spans="1:19">
      <c r="A67" t="s">
        <v>303</v>
      </c>
      <c r="B67" t="s">
        <v>366</v>
      </c>
      <c r="C67" s="120">
        <v>134.75</v>
      </c>
      <c r="D67" s="120">
        <v>356.78333330199996</v>
      </c>
      <c r="E67" s="120">
        <f t="shared" si="9"/>
        <v>0.37768019809922171</v>
      </c>
      <c r="F67" s="120">
        <v>101.73125</v>
      </c>
      <c r="G67" s="120">
        <v>277.01249996799993</v>
      </c>
      <c r="H67" s="120">
        <f t="shared" si="10"/>
        <v>0.36724425797302229</v>
      </c>
      <c r="I67" s="120">
        <v>75.856250000000003</v>
      </c>
      <c r="J67" s="120">
        <v>209.68166664599997</v>
      </c>
      <c r="K67" s="120">
        <f t="shared" si="11"/>
        <v>0.36176863344026217</v>
      </c>
      <c r="L67" s="120">
        <v>57.243749999999999</v>
      </c>
      <c r="M67" s="120">
        <v>161.20416664699999</v>
      </c>
      <c r="N67" s="120">
        <f t="shared" si="12"/>
        <v>0.35510093312507629</v>
      </c>
      <c r="O67" s="120">
        <f t="shared" si="13"/>
        <v>0.33510093312507627</v>
      </c>
      <c r="P67" s="120">
        <f t="shared" si="14"/>
        <v>0.38768019809922172</v>
      </c>
      <c r="Q67" s="105">
        <f t="shared" si="15"/>
        <v>0.67020186625015254</v>
      </c>
      <c r="R67" s="105">
        <f t="shared" si="16"/>
        <v>0.77536039619844344</v>
      </c>
      <c r="S67" s="105" t="str">
        <f t="shared" si="17"/>
        <v>67% to 78%</v>
      </c>
    </row>
    <row r="68" spans="1:19">
      <c r="A68" t="s">
        <v>203</v>
      </c>
      <c r="B68" t="s">
        <v>366</v>
      </c>
      <c r="C68" s="120">
        <v>136.67500000000001</v>
      </c>
      <c r="D68" s="120">
        <v>315.46666663799999</v>
      </c>
      <c r="E68" s="120">
        <f t="shared" si="9"/>
        <v>0.43324704145948784</v>
      </c>
      <c r="F68" s="120">
        <v>138.02499999999998</v>
      </c>
      <c r="G68" s="120">
        <v>315.54999995500009</v>
      </c>
      <c r="H68" s="120">
        <f t="shared" si="10"/>
        <v>0.43741086997205969</v>
      </c>
      <c r="I68" s="120">
        <v>159.75</v>
      </c>
      <c r="J68" s="120">
        <v>375.16666662900019</v>
      </c>
      <c r="K68" s="120">
        <f t="shared" si="11"/>
        <v>0.42581075082018338</v>
      </c>
      <c r="L68" s="120">
        <v>135.5</v>
      </c>
      <c r="M68" s="120">
        <v>322.283333298</v>
      </c>
      <c r="N68" s="120">
        <f t="shared" si="12"/>
        <v>0.42043750327824003</v>
      </c>
      <c r="O68" s="120">
        <f t="shared" si="13"/>
        <v>0.40043750327824001</v>
      </c>
      <c r="P68" s="120">
        <f t="shared" si="14"/>
        <v>0.4474108699720597</v>
      </c>
      <c r="Q68" s="105">
        <f t="shared" si="15"/>
        <v>0.80087500655648003</v>
      </c>
      <c r="R68" s="105">
        <f t="shared" si="16"/>
        <v>0.8948217399441194</v>
      </c>
      <c r="S68" s="105" t="str">
        <f t="shared" si="17"/>
        <v>80% to 89%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S75"/>
  <sheetViews>
    <sheetView topLeftCell="F1" workbookViewId="0"/>
  </sheetViews>
  <sheetFormatPr defaultColWidth="8.88671875" defaultRowHeight="14.4"/>
  <cols>
    <col min="1" max="1" width="43.44140625" bestFit="1" customWidth="1"/>
    <col min="2" max="2" width="35.109375" bestFit="1" customWidth="1"/>
    <col min="3" max="6" width="13.33203125" bestFit="1" customWidth="1"/>
    <col min="10" max="10" width="58.44140625" customWidth="1"/>
    <col min="11" max="11" width="7.33203125" customWidth="1"/>
    <col min="12" max="12" width="11.6640625" customWidth="1"/>
    <col min="13" max="13" width="8.44140625" customWidth="1"/>
    <col min="14" max="14" width="12.88671875" customWidth="1"/>
    <col min="15" max="15" width="10.6640625" customWidth="1"/>
    <col min="16" max="16" width="14" customWidth="1"/>
    <col min="17" max="17" width="11.109375" bestFit="1" customWidth="1"/>
    <col min="18" max="18" width="9.44140625" bestFit="1" customWidth="1"/>
    <col min="19" max="19" width="9.44140625" style="53" bestFit="1" customWidth="1"/>
    <col min="20" max="20" width="9.44140625" bestFit="1" customWidth="1"/>
  </cols>
  <sheetData>
    <row r="1" spans="1:19">
      <c r="A1" t="s">
        <v>320</v>
      </c>
      <c r="B1" t="s">
        <v>368</v>
      </c>
      <c r="J1" s="7" t="s">
        <v>369</v>
      </c>
    </row>
    <row r="2" spans="1:19">
      <c r="A2" t="s">
        <v>370</v>
      </c>
      <c r="B2" t="s">
        <v>371</v>
      </c>
      <c r="J2" s="7" t="s">
        <v>372</v>
      </c>
      <c r="K2" s="7" t="s">
        <v>373</v>
      </c>
      <c r="L2" s="7" t="s">
        <v>374</v>
      </c>
      <c r="M2" s="7" t="s">
        <v>375</v>
      </c>
      <c r="N2" s="7" t="s">
        <v>376</v>
      </c>
      <c r="O2" s="7" t="s">
        <v>377</v>
      </c>
    </row>
    <row r="3" spans="1:19">
      <c r="A3" t="s">
        <v>378</v>
      </c>
      <c r="B3" t="s">
        <v>379</v>
      </c>
      <c r="J3" t="s">
        <v>380</v>
      </c>
      <c r="K3">
        <v>2</v>
      </c>
      <c r="L3" s="53">
        <v>537.75</v>
      </c>
      <c r="M3" s="53">
        <v>539.69999999999993</v>
      </c>
      <c r="N3" s="53">
        <v>550.49399999999991</v>
      </c>
      <c r="O3" s="53">
        <v>561.50387999999987</v>
      </c>
      <c r="P3" s="53"/>
    </row>
    <row r="4" spans="1:19">
      <c r="A4" t="s">
        <v>381</v>
      </c>
      <c r="B4" t="s">
        <v>382</v>
      </c>
      <c r="J4" t="s">
        <v>383</v>
      </c>
      <c r="K4">
        <v>3</v>
      </c>
      <c r="L4" s="53"/>
      <c r="M4" s="53">
        <v>738.15</v>
      </c>
      <c r="N4" s="53">
        <v>752.91300000000001</v>
      </c>
      <c r="O4" s="53">
        <v>767.97126000000003</v>
      </c>
      <c r="P4" s="53"/>
    </row>
    <row r="5" spans="1:19">
      <c r="A5" t="s">
        <v>384</v>
      </c>
      <c r="B5" t="s">
        <v>385</v>
      </c>
      <c r="J5" t="s">
        <v>386</v>
      </c>
      <c r="K5">
        <v>5</v>
      </c>
      <c r="L5" s="53"/>
      <c r="M5" s="53">
        <v>843.0625</v>
      </c>
      <c r="N5" s="53">
        <v>859.92375000000004</v>
      </c>
      <c r="O5" s="53">
        <v>877.12222500000007</v>
      </c>
      <c r="P5" s="53"/>
    </row>
    <row r="6" spans="1:19">
      <c r="A6" t="s">
        <v>387</v>
      </c>
      <c r="B6" t="s">
        <v>388</v>
      </c>
      <c r="J6" t="s">
        <v>389</v>
      </c>
      <c r="K6">
        <v>3</v>
      </c>
      <c r="L6" s="53">
        <v>714.56</v>
      </c>
      <c r="M6" s="53">
        <v>858.2</v>
      </c>
      <c r="N6" s="53">
        <v>875.36400000000003</v>
      </c>
      <c r="O6" s="53">
        <v>892.87128000000007</v>
      </c>
      <c r="P6" s="53"/>
    </row>
    <row r="7" spans="1:19">
      <c r="A7" t="s">
        <v>390</v>
      </c>
      <c r="B7" t="s">
        <v>391</v>
      </c>
      <c r="J7" t="s">
        <v>392</v>
      </c>
      <c r="K7">
        <v>1</v>
      </c>
      <c r="L7" s="53">
        <v>683.1</v>
      </c>
      <c r="M7" s="53">
        <v>563.15</v>
      </c>
      <c r="N7" s="53">
        <v>574.41300000000001</v>
      </c>
      <c r="O7" s="53">
        <v>585.90125999999998</v>
      </c>
      <c r="P7" s="53"/>
    </row>
    <row r="8" spans="1:19">
      <c r="A8" t="s">
        <v>393</v>
      </c>
      <c r="B8" t="s">
        <v>394</v>
      </c>
      <c r="J8" t="s">
        <v>395</v>
      </c>
      <c r="K8">
        <v>3</v>
      </c>
      <c r="L8" s="53"/>
      <c r="M8" s="53">
        <v>926.8</v>
      </c>
      <c r="N8" s="53">
        <v>926.8</v>
      </c>
      <c r="O8" s="53">
        <v>926.8</v>
      </c>
      <c r="P8" s="53"/>
    </row>
    <row r="9" spans="1:19">
      <c r="A9" t="s">
        <v>396</v>
      </c>
      <c r="B9" t="s">
        <v>397</v>
      </c>
      <c r="J9" t="s">
        <v>398</v>
      </c>
      <c r="K9">
        <v>5</v>
      </c>
      <c r="L9" s="53"/>
      <c r="M9" s="53">
        <v>1031.7124999999999</v>
      </c>
      <c r="N9" s="53">
        <v>1031.7124999999999</v>
      </c>
      <c r="O9" s="53">
        <v>1031.7124999999999</v>
      </c>
      <c r="P9" s="53"/>
    </row>
    <row r="10" spans="1:19">
      <c r="A10" t="s">
        <v>399</v>
      </c>
      <c r="B10" t="s">
        <v>400</v>
      </c>
    </row>
    <row r="11" spans="1:19" ht="15" thickBot="1">
      <c r="A11" t="s">
        <v>401</v>
      </c>
      <c r="B11" t="s">
        <v>402</v>
      </c>
    </row>
    <row r="12" spans="1:19" ht="43.2">
      <c r="A12" t="s">
        <v>403</v>
      </c>
      <c r="B12" t="s">
        <v>404</v>
      </c>
      <c r="J12" s="72" t="s">
        <v>405</v>
      </c>
      <c r="K12" s="61" t="s">
        <v>406</v>
      </c>
      <c r="L12" s="61" t="s">
        <v>407</v>
      </c>
      <c r="M12" s="61" t="s">
        <v>408</v>
      </c>
      <c r="N12" s="61" t="s">
        <v>409</v>
      </c>
      <c r="O12" s="61" t="s">
        <v>410</v>
      </c>
      <c r="P12" s="73" t="s">
        <v>408</v>
      </c>
      <c r="Q12" s="73" t="s">
        <v>409</v>
      </c>
      <c r="R12" s="73" t="s">
        <v>410</v>
      </c>
    </row>
    <row r="13" spans="1:19">
      <c r="A13" t="s">
        <v>411</v>
      </c>
      <c r="B13" t="s">
        <v>412</v>
      </c>
      <c r="J13" s="68" t="s">
        <v>210</v>
      </c>
      <c r="K13" s="69">
        <v>627.36057127000004</v>
      </c>
      <c r="L13" s="70">
        <v>2598276.9420160921</v>
      </c>
      <c r="M13" s="69">
        <v>627.69066612999939</v>
      </c>
      <c r="N13" s="70">
        <v>2610323.9884269722</v>
      </c>
      <c r="O13" s="70">
        <v>12047.046410879746</v>
      </c>
      <c r="P13" s="74">
        <v>627.69066612999939</v>
      </c>
      <c r="Q13" s="75">
        <v>2610323.9884269722</v>
      </c>
      <c r="R13" s="75">
        <v>12047.046410879746</v>
      </c>
    </row>
    <row r="14" spans="1:19">
      <c r="A14" t="s">
        <v>413</v>
      </c>
      <c r="B14" t="s">
        <v>414</v>
      </c>
      <c r="J14" s="71" t="s">
        <v>415</v>
      </c>
      <c r="K14" s="69">
        <v>23.11304285100001</v>
      </c>
      <c r="L14" s="70">
        <v>95724.993010020495</v>
      </c>
      <c r="M14" s="69">
        <v>24.604029424</v>
      </c>
      <c r="N14" s="70">
        <v>102318.6924435306</v>
      </c>
      <c r="O14" s="70">
        <v>6593.6994335101044</v>
      </c>
      <c r="P14" s="69">
        <v>24.604029424</v>
      </c>
      <c r="Q14" s="70">
        <v>102318.6924435306</v>
      </c>
      <c r="R14" s="70">
        <v>6593.6994335101044</v>
      </c>
      <c r="S14" s="53">
        <f>Q14/P14</f>
        <v>4158.615269079618</v>
      </c>
    </row>
    <row r="15" spans="1:19">
      <c r="J15" s="71" t="s">
        <v>416</v>
      </c>
      <c r="K15" s="69">
        <v>35.435223371000006</v>
      </c>
      <c r="L15" s="70">
        <v>146758.54370904394</v>
      </c>
      <c r="M15" s="69">
        <v>29.477252102999987</v>
      </c>
      <c r="N15" s="70">
        <v>122584.55068604504</v>
      </c>
      <c r="O15" s="70">
        <v>-24173.993022998897</v>
      </c>
      <c r="P15" s="69">
        <v>29.477252102999987</v>
      </c>
      <c r="Q15" s="70">
        <v>122584.55068604504</v>
      </c>
      <c r="R15" s="70">
        <v>-24173.993022998897</v>
      </c>
      <c r="S15" s="53">
        <f t="shared" ref="S15:S54" si="0">Q15/P15</f>
        <v>4158.6152690796189</v>
      </c>
    </row>
    <row r="16" spans="1:19">
      <c r="J16" s="71" t="s">
        <v>258</v>
      </c>
      <c r="K16" s="69">
        <v>9.6874999959999961</v>
      </c>
      <c r="L16" s="70">
        <v>40121.756160788274</v>
      </c>
      <c r="M16" s="69">
        <v>9.4363235299999992</v>
      </c>
      <c r="N16" s="70">
        <v>39242.039115833279</v>
      </c>
      <c r="O16" s="70">
        <v>-879.7170449549958</v>
      </c>
      <c r="P16" s="69">
        <v>9.4363235299999992</v>
      </c>
      <c r="Q16" s="70">
        <v>39242.039115833279</v>
      </c>
      <c r="R16" s="70">
        <v>-879.7170449549958</v>
      </c>
      <c r="S16" s="53">
        <f>Q16/P16</f>
        <v>4158.615269079618</v>
      </c>
    </row>
    <row r="17" spans="1:19">
      <c r="J17" s="71" t="s">
        <v>242</v>
      </c>
      <c r="K17" s="69">
        <v>10.30963041</v>
      </c>
      <c r="L17" s="70">
        <v>42698.371880119885</v>
      </c>
      <c r="M17" s="69">
        <v>9.0809854359999989</v>
      </c>
      <c r="N17" s="70">
        <v>37764.32469243923</v>
      </c>
      <c r="O17" s="70">
        <v>-4934.047187680655</v>
      </c>
      <c r="P17" s="69">
        <v>9.0809854359999989</v>
      </c>
      <c r="Q17" s="70">
        <v>37764.32469243923</v>
      </c>
      <c r="R17" s="70">
        <v>-4934.047187680655</v>
      </c>
      <c r="S17" s="53">
        <f t="shared" si="0"/>
        <v>4158.615269079618</v>
      </c>
    </row>
    <row r="18" spans="1:19">
      <c r="J18" s="71" t="s">
        <v>417</v>
      </c>
      <c r="K18" s="69">
        <v>143.17410625300008</v>
      </c>
      <c r="L18" s="70">
        <v>592969.96975417226</v>
      </c>
      <c r="M18" s="69">
        <v>155.46914537199976</v>
      </c>
      <c r="N18" s="70">
        <v>646536.36181475699</v>
      </c>
      <c r="O18" s="70">
        <v>53566.392060584738</v>
      </c>
      <c r="P18" s="69">
        <v>155.46914537199976</v>
      </c>
      <c r="Q18" s="70">
        <v>646536.36181475699</v>
      </c>
      <c r="R18" s="70">
        <v>53566.392060584738</v>
      </c>
      <c r="S18" s="53">
        <f t="shared" si="0"/>
        <v>4158.615269079618</v>
      </c>
    </row>
    <row r="19" spans="1:19">
      <c r="J19" s="71" t="s">
        <v>418</v>
      </c>
      <c r="K19" s="69">
        <v>85.030909405999893</v>
      </c>
      <c r="L19" s="70">
        <v>352164.06861690467</v>
      </c>
      <c r="M19" s="69">
        <v>74.492271113999976</v>
      </c>
      <c r="N19" s="70">
        <v>309784.69608309882</v>
      </c>
      <c r="O19" s="70">
        <v>-42379.372533805843</v>
      </c>
      <c r="P19" s="69">
        <v>74.492271113999976</v>
      </c>
      <c r="Q19" s="70">
        <v>309784.69608309882</v>
      </c>
      <c r="R19" s="70">
        <v>-42379.372533805843</v>
      </c>
      <c r="S19" s="53">
        <f t="shared" si="0"/>
        <v>4158.6152690796171</v>
      </c>
    </row>
    <row r="20" spans="1:19">
      <c r="C20" s="7" t="s">
        <v>419</v>
      </c>
      <c r="D20" s="7" t="s">
        <v>420</v>
      </c>
      <c r="E20" s="7" t="s">
        <v>374</v>
      </c>
      <c r="F20" s="7" t="s">
        <v>375</v>
      </c>
      <c r="J20" s="71" t="s">
        <v>268</v>
      </c>
      <c r="K20" s="69">
        <v>6.929873348000001</v>
      </c>
      <c r="L20" s="70">
        <v>28700.767876996615</v>
      </c>
      <c r="M20" s="69">
        <v>11.285326086</v>
      </c>
      <c r="N20" s="70">
        <v>46931.329377782116</v>
      </c>
      <c r="O20" s="70">
        <v>18230.561500785501</v>
      </c>
      <c r="P20" s="69">
        <v>11.285326086</v>
      </c>
      <c r="Q20" s="70">
        <v>46931.329377782116</v>
      </c>
      <c r="R20" s="70">
        <v>18230.561500785501</v>
      </c>
      <c r="S20" s="53">
        <f t="shared" si="0"/>
        <v>4158.615269079618</v>
      </c>
    </row>
    <row r="21" spans="1:19">
      <c r="C21" s="7" t="s">
        <v>323</v>
      </c>
      <c r="D21" s="7" t="s">
        <v>323</v>
      </c>
      <c r="E21" s="7" t="s">
        <v>323</v>
      </c>
      <c r="F21" s="7" t="s">
        <v>421</v>
      </c>
      <c r="J21" s="71" t="s">
        <v>422</v>
      </c>
      <c r="K21" s="69">
        <v>313.68028563500002</v>
      </c>
      <c r="L21" s="70">
        <v>1299138.4710080461</v>
      </c>
      <c r="M21" s="69">
        <v>313.84533306499969</v>
      </c>
      <c r="N21" s="70">
        <v>1305161.9942134859</v>
      </c>
      <c r="O21" s="70">
        <v>6023.5232054397929</v>
      </c>
      <c r="P21" s="69">
        <v>313.84533306499969</v>
      </c>
      <c r="Q21" s="70">
        <v>1305161.9942134859</v>
      </c>
      <c r="R21" s="70">
        <v>6023.5232054397929</v>
      </c>
      <c r="S21" s="53">
        <f t="shared" si="0"/>
        <v>4158.6152690796171</v>
      </c>
    </row>
    <row r="22" spans="1:19">
      <c r="A22" t="s">
        <v>225</v>
      </c>
      <c r="B22" t="s">
        <v>423</v>
      </c>
      <c r="C22" s="59">
        <v>1802497.6300000001</v>
      </c>
      <c r="D22" s="59">
        <v>99248.049999999988</v>
      </c>
      <c r="E22" s="59">
        <v>101513.36000000002</v>
      </c>
      <c r="F22" s="59">
        <v>102785</v>
      </c>
      <c r="J22" s="68" t="s">
        <v>183</v>
      </c>
      <c r="K22" s="69">
        <v>1625.9841009920005</v>
      </c>
      <c r="L22" s="70">
        <v>6734176.7894974267</v>
      </c>
      <c r="M22" s="69">
        <v>1557.7059160400004</v>
      </c>
      <c r="N22" s="70">
        <v>6477899.607179598</v>
      </c>
      <c r="O22" s="70">
        <v>-256277.1823178285</v>
      </c>
      <c r="P22" s="74">
        <v>1557.7059160400004</v>
      </c>
      <c r="Q22" s="75">
        <v>6477899.607179598</v>
      </c>
      <c r="R22" s="75">
        <v>-256277.1823178285</v>
      </c>
      <c r="S22" s="53">
        <f t="shared" si="0"/>
        <v>4158.6152690796171</v>
      </c>
    </row>
    <row r="23" spans="1:19">
      <c r="A23" t="s">
        <v>234</v>
      </c>
      <c r="B23" t="s">
        <v>423</v>
      </c>
      <c r="C23" s="59">
        <v>140116.25</v>
      </c>
      <c r="D23" s="59">
        <v>175437.2</v>
      </c>
      <c r="E23" s="59">
        <v>157684.54</v>
      </c>
      <c r="F23" s="59">
        <v>122585</v>
      </c>
      <c r="J23" s="71" t="s">
        <v>424</v>
      </c>
      <c r="K23" s="69">
        <v>258.3784268940002</v>
      </c>
      <c r="L23" s="70">
        <v>1070100.2575824042</v>
      </c>
      <c r="M23" s="69">
        <v>231.31338697700005</v>
      </c>
      <c r="N23" s="70">
        <v>961943.38302507484</v>
      </c>
      <c r="O23" s="70">
        <v>-108156.87455732934</v>
      </c>
      <c r="P23" s="69">
        <v>231.31338697700005</v>
      </c>
      <c r="Q23" s="70">
        <v>961943.38302507484</v>
      </c>
      <c r="R23" s="70">
        <v>-108156.87455732934</v>
      </c>
      <c r="S23" s="53">
        <f t="shared" si="0"/>
        <v>4158.615269079618</v>
      </c>
    </row>
    <row r="24" spans="1:19">
      <c r="A24" t="s">
        <v>425</v>
      </c>
      <c r="B24" t="s">
        <v>423</v>
      </c>
      <c r="C24" s="59">
        <v>1972366.81</v>
      </c>
      <c r="D24" s="59">
        <v>0</v>
      </c>
      <c r="E24" s="59">
        <v>0</v>
      </c>
      <c r="F24" s="59">
        <v>0</v>
      </c>
      <c r="J24" s="71" t="s">
        <v>426</v>
      </c>
      <c r="K24" s="69">
        <v>67.73569690299999</v>
      </c>
      <c r="L24" s="70">
        <v>280534.20548597322</v>
      </c>
      <c r="M24" s="69">
        <v>58.34088721599997</v>
      </c>
      <c r="N24" s="70">
        <v>242617.30438810936</v>
      </c>
      <c r="O24" s="70">
        <v>-37916.901097863854</v>
      </c>
      <c r="P24" s="69">
        <v>58.34088721599997</v>
      </c>
      <c r="Q24" s="70">
        <v>242617.30438810936</v>
      </c>
      <c r="R24" s="70">
        <v>-37916.901097863854</v>
      </c>
      <c r="S24" s="53">
        <f t="shared" si="0"/>
        <v>4158.615269079618</v>
      </c>
    </row>
    <row r="25" spans="1:19">
      <c r="A25" t="s">
        <v>242</v>
      </c>
      <c r="B25" t="s">
        <v>423</v>
      </c>
      <c r="C25" s="59">
        <v>57204.11</v>
      </c>
      <c r="D25" s="59">
        <v>133944.16</v>
      </c>
      <c r="E25" s="59">
        <v>76376.19</v>
      </c>
      <c r="F25" s="59">
        <v>37764</v>
      </c>
      <c r="J25" s="71" t="s">
        <v>427</v>
      </c>
      <c r="K25" s="69">
        <v>36.501773521000004</v>
      </c>
      <c r="L25" s="70">
        <v>151175.76849038288</v>
      </c>
      <c r="M25" s="69">
        <v>38.920140939999982</v>
      </c>
      <c r="N25" s="70">
        <v>161853.89238781467</v>
      </c>
      <c r="O25" s="70">
        <v>10678.123897431797</v>
      </c>
      <c r="P25" s="69">
        <v>38.920140939999982</v>
      </c>
      <c r="Q25" s="70">
        <v>161853.89238781467</v>
      </c>
      <c r="R25" s="70">
        <v>10678.123897431797</v>
      </c>
      <c r="S25" s="53">
        <f t="shared" si="0"/>
        <v>4158.615269079618</v>
      </c>
    </row>
    <row r="26" spans="1:19">
      <c r="A26" t="s">
        <v>250</v>
      </c>
      <c r="B26" t="s">
        <v>423</v>
      </c>
      <c r="C26" s="59">
        <v>0</v>
      </c>
      <c r="D26" s="59">
        <v>494835.71</v>
      </c>
      <c r="E26" s="59">
        <v>675661.41999999993</v>
      </c>
      <c r="F26" s="59">
        <v>646536</v>
      </c>
      <c r="J26" s="71" t="s">
        <v>428</v>
      </c>
      <c r="K26" s="69">
        <v>106.2033905980001</v>
      </c>
      <c r="L26" s="70">
        <v>439852.03022258834</v>
      </c>
      <c r="M26" s="69">
        <v>105.894302553</v>
      </c>
      <c r="N26" s="70">
        <v>440373.66350544262</v>
      </c>
      <c r="O26" s="70">
        <v>521.63328285427997</v>
      </c>
      <c r="P26" s="69">
        <v>105.894302553</v>
      </c>
      <c r="Q26" s="70">
        <v>440373.66350544262</v>
      </c>
      <c r="R26" s="70">
        <v>521.63328285427997</v>
      </c>
      <c r="S26" s="53">
        <f t="shared" si="0"/>
        <v>4158.615269079618</v>
      </c>
    </row>
    <row r="27" spans="1:19" ht="15" customHeight="1">
      <c r="A27" t="s">
        <v>429</v>
      </c>
      <c r="B27" t="s">
        <v>423</v>
      </c>
      <c r="C27" s="59">
        <v>274216.20999999996</v>
      </c>
      <c r="D27" s="59">
        <v>295782.64</v>
      </c>
      <c r="E27" s="59">
        <v>3.2741809263825417E-11</v>
      </c>
      <c r="F27" s="59">
        <v>0</v>
      </c>
      <c r="J27" s="71" t="s">
        <v>276</v>
      </c>
      <c r="K27" s="69">
        <v>102.41814352699996</v>
      </c>
      <c r="L27" s="70">
        <v>424175.04853962432</v>
      </c>
      <c r="M27" s="69">
        <v>110.11759686299999</v>
      </c>
      <c r="N27" s="70">
        <v>457936.71970882558</v>
      </c>
      <c r="O27" s="70">
        <v>33761.671169201261</v>
      </c>
      <c r="P27" s="69">
        <v>110.11759686299999</v>
      </c>
      <c r="Q27" s="70">
        <v>457936.71970882558</v>
      </c>
      <c r="R27" s="70">
        <v>33761.671169201261</v>
      </c>
      <c r="S27" s="53">
        <f t="shared" si="0"/>
        <v>4158.615269079618</v>
      </c>
    </row>
    <row r="28" spans="1:19">
      <c r="A28" t="s">
        <v>258</v>
      </c>
      <c r="B28" t="s">
        <v>423</v>
      </c>
      <c r="C28" s="59">
        <v>49846.55</v>
      </c>
      <c r="D28" s="59">
        <v>53021.33</v>
      </c>
      <c r="E28" s="59">
        <v>37445.449999999997</v>
      </c>
      <c r="F28" s="59">
        <v>39242</v>
      </c>
      <c r="J28" s="71" t="s">
        <v>430</v>
      </c>
      <c r="K28" s="69">
        <v>241.754619053</v>
      </c>
      <c r="L28" s="70">
        <v>1001251.0844277403</v>
      </c>
      <c r="M28" s="69">
        <v>234.26664347100012</v>
      </c>
      <c r="N28" s="70">
        <v>974224.84057453205</v>
      </c>
      <c r="O28" s="70">
        <v>-27026.24385320826</v>
      </c>
      <c r="P28" s="69">
        <v>234.26664347100012</v>
      </c>
      <c r="Q28" s="70">
        <v>974224.84057453205</v>
      </c>
      <c r="R28" s="70">
        <v>-27026.24385320826</v>
      </c>
      <c r="S28" s="53">
        <f t="shared" si="0"/>
        <v>4158.615269079618</v>
      </c>
    </row>
    <row r="29" spans="1:19">
      <c r="A29" t="s">
        <v>264</v>
      </c>
      <c r="B29" t="s">
        <v>423</v>
      </c>
      <c r="C29" s="59">
        <v>0</v>
      </c>
      <c r="D29" s="59">
        <v>0</v>
      </c>
      <c r="E29" s="59">
        <v>362828.25000000006</v>
      </c>
      <c r="F29" s="59">
        <v>309785</v>
      </c>
      <c r="J29" s="71" t="s">
        <v>422</v>
      </c>
      <c r="K29" s="69">
        <v>812.99205049600016</v>
      </c>
      <c r="L29" s="70">
        <v>3367088.3947487129</v>
      </c>
      <c r="M29" s="69">
        <v>778.85295802000019</v>
      </c>
      <c r="N29" s="70">
        <v>3238949.8035897985</v>
      </c>
      <c r="O29" s="70">
        <v>-128138.59115891438</v>
      </c>
      <c r="P29" s="69">
        <v>778.85295802000019</v>
      </c>
      <c r="Q29" s="70">
        <v>3238949.8035897985</v>
      </c>
      <c r="R29" s="70">
        <v>-128138.59115891438</v>
      </c>
      <c r="S29" s="53">
        <f t="shared" si="0"/>
        <v>4158.6152690796171</v>
      </c>
    </row>
    <row r="30" spans="1:19">
      <c r="A30" t="s">
        <v>268</v>
      </c>
      <c r="B30" t="s">
        <v>423</v>
      </c>
      <c r="C30" s="59">
        <v>38317.879999999997</v>
      </c>
      <c r="D30" s="59">
        <v>33034.86</v>
      </c>
      <c r="E30" s="59">
        <v>32878.119999999995</v>
      </c>
      <c r="F30" s="59">
        <v>46931</v>
      </c>
      <c r="J30" s="68" t="s">
        <v>190</v>
      </c>
      <c r="K30" s="69">
        <v>649.36669655599997</v>
      </c>
      <c r="L30" s="70">
        <v>2689417.5245330688</v>
      </c>
      <c r="M30" s="69">
        <v>604.78052536399991</v>
      </c>
      <c r="N30" s="70">
        <v>2515049.5272207228</v>
      </c>
      <c r="O30" s="70">
        <v>-174367.99731234595</v>
      </c>
      <c r="P30" s="74">
        <v>604.78052536399991</v>
      </c>
      <c r="Q30" s="75">
        <v>2515049.5272207228</v>
      </c>
      <c r="R30" s="75">
        <v>-174367.99731234595</v>
      </c>
      <c r="S30" s="53">
        <f t="shared" si="0"/>
        <v>4158.6152690796171</v>
      </c>
    </row>
    <row r="31" spans="1:19" ht="15" customHeight="1">
      <c r="A31" t="s">
        <v>431</v>
      </c>
      <c r="B31" t="s">
        <v>423</v>
      </c>
      <c r="C31" s="59">
        <v>256510.1</v>
      </c>
      <c r="D31" s="59">
        <v>0</v>
      </c>
      <c r="E31" s="59">
        <v>0</v>
      </c>
      <c r="F31" s="59">
        <v>0</v>
      </c>
      <c r="J31" s="71" t="s">
        <v>432</v>
      </c>
      <c r="K31" s="69">
        <v>26.544012703000003</v>
      </c>
      <c r="L31" s="70">
        <v>109934.6999368642</v>
      </c>
      <c r="M31" s="69">
        <v>29.514623791999981</v>
      </c>
      <c r="N31" s="70">
        <v>122739.9651625517</v>
      </c>
      <c r="O31" s="70">
        <v>12805.265225687501</v>
      </c>
      <c r="P31" s="69">
        <v>29.514623791999981</v>
      </c>
      <c r="Q31" s="70">
        <v>122739.9651625517</v>
      </c>
      <c r="R31" s="70">
        <v>12805.265225687501</v>
      </c>
      <c r="S31" s="53">
        <f t="shared" si="0"/>
        <v>4158.615269079618</v>
      </c>
    </row>
    <row r="32" spans="1:19" ht="15" customHeight="1">
      <c r="A32" t="s">
        <v>433</v>
      </c>
      <c r="B32" t="s">
        <v>423</v>
      </c>
      <c r="C32" s="59">
        <v>10162.559999999998</v>
      </c>
      <c r="D32" s="59">
        <v>0</v>
      </c>
      <c r="E32" s="59">
        <v>0</v>
      </c>
      <c r="F32" s="59">
        <v>-8.5265128291212022E-14</v>
      </c>
      <c r="J32" s="71" t="s">
        <v>434</v>
      </c>
      <c r="K32" s="69">
        <v>9.9166666660000011</v>
      </c>
      <c r="L32" s="70">
        <v>41070.872987391274</v>
      </c>
      <c r="M32" s="69">
        <v>5.9569999999999999</v>
      </c>
      <c r="N32" s="70">
        <v>24772.871157907281</v>
      </c>
      <c r="O32" s="70">
        <v>-16298.001829483994</v>
      </c>
      <c r="P32" s="69">
        <v>5.9569999999999999</v>
      </c>
      <c r="Q32" s="70">
        <v>24772.871157907281</v>
      </c>
      <c r="R32" s="70">
        <v>-16298.001829483994</v>
      </c>
      <c r="S32" s="53">
        <f t="shared" si="0"/>
        <v>4158.6152690796171</v>
      </c>
    </row>
    <row r="33" spans="1:19">
      <c r="A33" t="s">
        <v>272</v>
      </c>
      <c r="B33" t="s">
        <v>423</v>
      </c>
      <c r="C33" s="59">
        <v>805353.81</v>
      </c>
      <c r="D33" s="59">
        <v>214909.88999999998</v>
      </c>
      <c r="E33" s="59">
        <v>270252.55</v>
      </c>
      <c r="F33" s="59">
        <v>242617</v>
      </c>
      <c r="J33" s="71" t="s">
        <v>435</v>
      </c>
      <c r="K33" s="69">
        <v>29.112263031999998</v>
      </c>
      <c r="L33" s="70">
        <v>120571.36713712731</v>
      </c>
      <c r="M33" s="69">
        <v>24.274539651000001</v>
      </c>
      <c r="N33" s="70">
        <v>100948.47124252722</v>
      </c>
      <c r="O33" s="70">
        <v>-19622.895894600093</v>
      </c>
      <c r="P33" s="69">
        <v>24.274539651000001</v>
      </c>
      <c r="Q33" s="70">
        <v>100948.47124252722</v>
      </c>
      <c r="R33" s="70">
        <v>-19622.895894600093</v>
      </c>
      <c r="S33" s="53">
        <f t="shared" si="0"/>
        <v>4158.615269079618</v>
      </c>
    </row>
    <row r="34" spans="1:19">
      <c r="A34" t="s">
        <v>274</v>
      </c>
      <c r="B34" t="s">
        <v>423</v>
      </c>
      <c r="C34" s="59">
        <v>1173404.02</v>
      </c>
      <c r="D34" s="59">
        <v>1025987.2899999999</v>
      </c>
      <c r="E34" s="59">
        <v>1089087.7299999997</v>
      </c>
      <c r="F34" s="59">
        <v>961943</v>
      </c>
      <c r="J34" s="71" t="s">
        <v>287</v>
      </c>
      <c r="K34" s="69">
        <v>91.473752309999995</v>
      </c>
      <c r="L34" s="70">
        <v>378847.75089647027</v>
      </c>
      <c r="M34" s="69">
        <v>74.933464986999994</v>
      </c>
      <c r="N34" s="70">
        <v>311619.45165998116</v>
      </c>
      <c r="O34" s="70">
        <v>-67228.299236489111</v>
      </c>
      <c r="P34" s="69">
        <v>74.933464986999994</v>
      </c>
      <c r="Q34" s="70">
        <v>311619.45165998116</v>
      </c>
      <c r="R34" s="70">
        <v>-67228.299236489111</v>
      </c>
      <c r="S34" s="53">
        <f t="shared" si="0"/>
        <v>4158.6152690796189</v>
      </c>
    </row>
    <row r="35" spans="1:19">
      <c r="A35" t="s">
        <v>276</v>
      </c>
      <c r="B35" t="s">
        <v>423</v>
      </c>
      <c r="C35" s="59">
        <v>519367.01999999996</v>
      </c>
      <c r="D35" s="59">
        <v>410828.56000000006</v>
      </c>
      <c r="E35" s="59">
        <v>430839.49</v>
      </c>
      <c r="F35" s="59">
        <v>457937</v>
      </c>
      <c r="J35" s="71" t="s">
        <v>290</v>
      </c>
      <c r="K35" s="69">
        <v>39.306734893000005</v>
      </c>
      <c r="L35" s="70">
        <v>162792.79829727652</v>
      </c>
      <c r="M35" s="69">
        <v>27.248172736999997</v>
      </c>
      <c r="N35" s="70">
        <v>113314.66719860716</v>
      </c>
      <c r="O35" s="70">
        <v>-49478.131098669357</v>
      </c>
      <c r="P35" s="69">
        <v>27.248172736999997</v>
      </c>
      <c r="Q35" s="70">
        <v>113314.66719860716</v>
      </c>
      <c r="R35" s="70">
        <v>-49478.131098669357</v>
      </c>
      <c r="S35" s="53">
        <f t="shared" si="0"/>
        <v>4158.615269079618</v>
      </c>
    </row>
    <row r="36" spans="1:19">
      <c r="A36" t="s">
        <v>436</v>
      </c>
      <c r="B36" t="s">
        <v>423</v>
      </c>
      <c r="C36" s="59">
        <v>870362.00999999989</v>
      </c>
      <c r="D36" s="59">
        <v>953438.11</v>
      </c>
      <c r="E36" s="59">
        <v>0</v>
      </c>
      <c r="F36" s="59">
        <v>0</v>
      </c>
      <c r="J36" s="71" t="s">
        <v>437</v>
      </c>
      <c r="K36" s="69">
        <v>90.320781634999989</v>
      </c>
      <c r="L36" s="70">
        <v>374072.60681368416</v>
      </c>
      <c r="M36" s="69">
        <v>109.06823067499994</v>
      </c>
      <c r="N36" s="70">
        <v>453572.80945655273</v>
      </c>
      <c r="O36" s="70">
        <v>79500.202642868564</v>
      </c>
      <c r="P36" s="69">
        <v>109.06823067499994</v>
      </c>
      <c r="Q36" s="70">
        <v>453572.80945655273</v>
      </c>
      <c r="R36" s="70">
        <v>79500.202642868564</v>
      </c>
      <c r="S36" s="53">
        <f t="shared" si="0"/>
        <v>4158.615269079618</v>
      </c>
    </row>
    <row r="37" spans="1:19">
      <c r="A37" t="s">
        <v>277</v>
      </c>
      <c r="B37" t="s">
        <v>423</v>
      </c>
      <c r="C37" s="59">
        <v>0</v>
      </c>
      <c r="D37" s="59">
        <v>0</v>
      </c>
      <c r="E37" s="59">
        <v>1025245.8300000001</v>
      </c>
      <c r="F37" s="59">
        <v>974225</v>
      </c>
      <c r="J37" s="71" t="s">
        <v>438</v>
      </c>
      <c r="K37" s="69">
        <v>7.2490061079999988</v>
      </c>
      <c r="L37" s="70">
        <v>30022.488319311575</v>
      </c>
      <c r="M37" s="69">
        <v>5.16</v>
      </c>
      <c r="N37" s="70">
        <v>21458.454788450832</v>
      </c>
      <c r="O37" s="70">
        <v>-8564.0335308607428</v>
      </c>
      <c r="P37" s="69">
        <v>5.16</v>
      </c>
      <c r="Q37" s="70">
        <v>21458.454788450832</v>
      </c>
      <c r="R37" s="70">
        <v>-8564.0335308607428</v>
      </c>
      <c r="S37" s="53">
        <f t="shared" si="0"/>
        <v>4158.6152690796189</v>
      </c>
    </row>
    <row r="38" spans="1:19">
      <c r="A38" t="s">
        <v>278</v>
      </c>
      <c r="B38" t="s">
        <v>423</v>
      </c>
      <c r="C38" s="59">
        <v>162351.25</v>
      </c>
      <c r="D38" s="59">
        <v>182037.72</v>
      </c>
      <c r="E38" s="59">
        <v>162314.02000000002</v>
      </c>
      <c r="F38" s="59">
        <v>161854</v>
      </c>
      <c r="J38" s="71" t="s">
        <v>298</v>
      </c>
      <c r="K38" s="69">
        <v>30.760130931000003</v>
      </c>
      <c r="L38" s="70">
        <v>127396.17787840916</v>
      </c>
      <c r="M38" s="69">
        <v>26.234230840000006</v>
      </c>
      <c r="N38" s="70">
        <v>109098.07294378344</v>
      </c>
      <c r="O38" s="70">
        <v>-18298.10493462572</v>
      </c>
      <c r="P38" s="69">
        <v>26.234230840000006</v>
      </c>
      <c r="Q38" s="70">
        <v>109098.07294378344</v>
      </c>
      <c r="R38" s="70">
        <v>-18298.10493462572</v>
      </c>
      <c r="S38" s="53">
        <f t="shared" si="0"/>
        <v>4158.615269079618</v>
      </c>
    </row>
    <row r="39" spans="1:19">
      <c r="A39" t="s">
        <v>279</v>
      </c>
      <c r="B39" t="s">
        <v>423</v>
      </c>
      <c r="C39" s="59">
        <v>1281619.54</v>
      </c>
      <c r="D39" s="59">
        <v>504939.29000000004</v>
      </c>
      <c r="E39" s="59">
        <v>504484.41</v>
      </c>
      <c r="F39" s="59">
        <v>440374</v>
      </c>
      <c r="J39" s="71" t="s">
        <v>422</v>
      </c>
      <c r="K39" s="69">
        <v>324.68334827799998</v>
      </c>
      <c r="L39" s="70">
        <v>1344708.7622665344</v>
      </c>
      <c r="M39" s="69">
        <v>302.39026268199996</v>
      </c>
      <c r="N39" s="70">
        <v>1257524.7636103614</v>
      </c>
      <c r="O39" s="70">
        <v>-87183.998656173004</v>
      </c>
      <c r="P39" s="69">
        <v>302.39026268199996</v>
      </c>
      <c r="Q39" s="70">
        <v>1257524.7636103614</v>
      </c>
      <c r="R39" s="70">
        <v>-87183.998656173004</v>
      </c>
      <c r="S39" s="53">
        <f t="shared" si="0"/>
        <v>4158.6152690796171</v>
      </c>
    </row>
    <row r="40" spans="1:19">
      <c r="A40" t="s">
        <v>280</v>
      </c>
      <c r="B40" t="s">
        <v>423</v>
      </c>
      <c r="C40" s="59">
        <v>78466.049999999988</v>
      </c>
      <c r="D40" s="59">
        <v>69472.39</v>
      </c>
      <c r="E40" s="59">
        <v>71853.59</v>
      </c>
      <c r="F40" s="59">
        <v>124011</v>
      </c>
      <c r="J40" s="68" t="s">
        <v>439</v>
      </c>
      <c r="K40" s="69">
        <v>163.21755612600003</v>
      </c>
      <c r="L40" s="70">
        <v>675981.93452914362</v>
      </c>
      <c r="M40" s="69">
        <v>174.05444809799999</v>
      </c>
      <c r="N40" s="70">
        <v>723825.48551156849</v>
      </c>
      <c r="O40" s="70">
        <v>47843.550982424866</v>
      </c>
      <c r="P40" s="74">
        <v>174.05444809799999</v>
      </c>
      <c r="Q40" s="75">
        <v>723825.48551156849</v>
      </c>
      <c r="R40" s="75">
        <v>47843.550982424866</v>
      </c>
      <c r="S40" s="53">
        <f t="shared" si="0"/>
        <v>4158.6152690796171</v>
      </c>
    </row>
    <row r="41" spans="1:19">
      <c r="A41" t="s">
        <v>283</v>
      </c>
      <c r="B41" t="s">
        <v>423</v>
      </c>
      <c r="C41" s="59">
        <v>89119.62999999999</v>
      </c>
      <c r="D41" s="59">
        <v>31675.699999999997</v>
      </c>
      <c r="E41" s="59">
        <v>32525.360000000001</v>
      </c>
      <c r="F41" s="59">
        <v>24773</v>
      </c>
      <c r="J41" s="71" t="s">
        <v>440</v>
      </c>
      <c r="K41" s="69">
        <v>76.230524185000021</v>
      </c>
      <c r="L41" s="70">
        <v>315716.38757393666</v>
      </c>
      <c r="M41" s="69">
        <v>82.015639210999993</v>
      </c>
      <c r="N41" s="70">
        <v>341071.48952618957</v>
      </c>
      <c r="O41" s="70">
        <v>25355.10195225291</v>
      </c>
      <c r="P41" s="69">
        <v>82.015639210999993</v>
      </c>
      <c r="Q41" s="70">
        <v>341071.48952618957</v>
      </c>
      <c r="R41" s="70">
        <v>25355.10195225291</v>
      </c>
      <c r="S41" s="53">
        <f t="shared" si="0"/>
        <v>4158.615269079618</v>
      </c>
    </row>
    <row r="42" spans="1:19">
      <c r="A42" t="s">
        <v>285</v>
      </c>
      <c r="B42" t="s">
        <v>423</v>
      </c>
      <c r="C42" s="59">
        <v>110037.97</v>
      </c>
      <c r="D42" s="59">
        <v>113867.93</v>
      </c>
      <c r="E42" s="59">
        <v>79935.67</v>
      </c>
      <c r="F42" s="59">
        <v>100948</v>
      </c>
      <c r="J42" s="71" t="s">
        <v>441</v>
      </c>
      <c r="K42" s="69">
        <v>1</v>
      </c>
      <c r="L42" s="70">
        <v>4141.6006376624209</v>
      </c>
      <c r="M42" s="69">
        <v>0.5</v>
      </c>
      <c r="N42" s="70">
        <v>2079.307634539809</v>
      </c>
      <c r="O42" s="70">
        <v>-2062.2930031226119</v>
      </c>
      <c r="P42" s="69">
        <v>0.5</v>
      </c>
      <c r="Q42" s="70">
        <v>2079.307634539809</v>
      </c>
      <c r="R42" s="70">
        <v>-2062.2930031226119</v>
      </c>
      <c r="S42" s="53">
        <f t="shared" si="0"/>
        <v>4158.615269079618</v>
      </c>
    </row>
    <row r="43" spans="1:19">
      <c r="A43" t="s">
        <v>442</v>
      </c>
      <c r="B43" t="s">
        <v>423</v>
      </c>
      <c r="C43" s="59">
        <v>0</v>
      </c>
      <c r="D43" s="59">
        <v>772763.91999999993</v>
      </c>
      <c r="E43" s="59">
        <v>733724.66</v>
      </c>
      <c r="F43" s="59">
        <v>700000</v>
      </c>
      <c r="J43" s="71" t="s">
        <v>443</v>
      </c>
      <c r="K43" s="69">
        <v>4.3782538779999998</v>
      </c>
      <c r="L43" s="70">
        <v>18132.979052972765</v>
      </c>
      <c r="M43" s="69">
        <v>4.5115848380000001</v>
      </c>
      <c r="N43" s="70">
        <v>18761.945595054898</v>
      </c>
      <c r="O43" s="70">
        <v>628.96654208213295</v>
      </c>
      <c r="P43" s="69">
        <v>4.5115848380000001</v>
      </c>
      <c r="Q43" s="70">
        <v>18761.945595054898</v>
      </c>
      <c r="R43" s="70">
        <v>628.96654208213295</v>
      </c>
      <c r="S43" s="53">
        <f t="shared" si="0"/>
        <v>4158.6152690796189</v>
      </c>
    </row>
    <row r="44" spans="1:19">
      <c r="A44" t="s">
        <v>287</v>
      </c>
      <c r="B44" t="s">
        <v>423</v>
      </c>
      <c r="C44" s="59">
        <v>289623.79000000004</v>
      </c>
      <c r="D44" s="59">
        <v>334330.86</v>
      </c>
      <c r="E44" s="59">
        <v>294773.8</v>
      </c>
      <c r="F44" s="59">
        <v>311619</v>
      </c>
      <c r="J44" s="71" t="s">
        <v>422</v>
      </c>
      <c r="K44" s="69">
        <v>81.608778063000017</v>
      </c>
      <c r="L44" s="70">
        <v>337990.96726457181</v>
      </c>
      <c r="M44" s="69">
        <v>87.027224048999997</v>
      </c>
      <c r="N44" s="70">
        <v>361912.74275578425</v>
      </c>
      <c r="O44" s="70">
        <v>23921.775491212436</v>
      </c>
      <c r="P44" s="69">
        <v>87.027224048999997</v>
      </c>
      <c r="Q44" s="70">
        <v>361912.74275578425</v>
      </c>
      <c r="R44" s="70">
        <v>23921.775491212436</v>
      </c>
      <c r="S44" s="53">
        <f t="shared" si="0"/>
        <v>4158.6152690796171</v>
      </c>
    </row>
    <row r="45" spans="1:19">
      <c r="A45" t="s">
        <v>290</v>
      </c>
      <c r="B45" t="s">
        <v>423</v>
      </c>
      <c r="C45" s="59">
        <v>63500.3</v>
      </c>
      <c r="D45" s="59">
        <v>65494.21</v>
      </c>
      <c r="E45" s="59">
        <v>100650.35</v>
      </c>
      <c r="F45" s="59">
        <v>113315</v>
      </c>
      <c r="J45" s="68" t="s">
        <v>200</v>
      </c>
      <c r="K45" s="69">
        <v>647.40398482399996</v>
      </c>
      <c r="L45" s="70">
        <v>2681288.7563722702</v>
      </c>
      <c r="M45" s="69">
        <v>733.90855876999967</v>
      </c>
      <c r="N45" s="70">
        <v>3052043.3386091376</v>
      </c>
      <c r="O45" s="70">
        <v>370754.58223686699</v>
      </c>
      <c r="P45" s="74">
        <v>733.90855876999967</v>
      </c>
      <c r="Q45" s="75">
        <v>3052043.3386091376</v>
      </c>
      <c r="R45" s="75">
        <v>370754.58223686699</v>
      </c>
      <c r="S45" s="53">
        <f t="shared" si="0"/>
        <v>4158.6152690796189</v>
      </c>
    </row>
    <row r="46" spans="1:19">
      <c r="A46" t="s">
        <v>293</v>
      </c>
      <c r="B46" t="s">
        <v>423</v>
      </c>
      <c r="C46" s="59">
        <v>250954.34000000003</v>
      </c>
      <c r="D46" s="59">
        <v>202959.86000000002</v>
      </c>
      <c r="E46" s="59">
        <v>334156.46999999997</v>
      </c>
      <c r="F46" s="59">
        <v>454313</v>
      </c>
      <c r="J46" s="71" t="s">
        <v>301</v>
      </c>
      <c r="K46" s="69">
        <v>117.32151690000001</v>
      </c>
      <c r="L46" s="70">
        <v>485898.86920456245</v>
      </c>
      <c r="M46" s="69">
        <v>156.29224718799978</v>
      </c>
      <c r="N46" s="70">
        <v>649959.3255947819</v>
      </c>
      <c r="O46" s="70">
        <v>164060.45639021945</v>
      </c>
      <c r="P46" s="69">
        <v>156.29224718799978</v>
      </c>
      <c r="Q46" s="70">
        <v>649959.3255947819</v>
      </c>
      <c r="R46" s="70">
        <v>164060.45639021945</v>
      </c>
      <c r="S46" s="53">
        <f t="shared" si="0"/>
        <v>4158.615269079618</v>
      </c>
    </row>
    <row r="47" spans="1:19">
      <c r="A47" t="s">
        <v>444</v>
      </c>
      <c r="B47" t="s">
        <v>423</v>
      </c>
      <c r="C47" s="59">
        <v>0</v>
      </c>
      <c r="D47" s="59">
        <v>119400.79000000001</v>
      </c>
      <c r="E47" s="59">
        <v>0</v>
      </c>
      <c r="F47" s="59">
        <v>0</v>
      </c>
      <c r="J47" s="71" t="s">
        <v>445</v>
      </c>
      <c r="K47" s="69">
        <v>57.123715865999962</v>
      </c>
      <c r="L47" s="70">
        <v>236583.61805627236</v>
      </c>
      <c r="M47" s="69">
        <v>0</v>
      </c>
      <c r="N47" s="70">
        <v>0</v>
      </c>
      <c r="O47" s="70">
        <v>-236583.61805627236</v>
      </c>
      <c r="P47" s="69">
        <v>0</v>
      </c>
      <c r="Q47" s="70">
        <v>0</v>
      </c>
      <c r="R47" s="70">
        <v>-236583.61805627236</v>
      </c>
      <c r="S47" s="53" t="e">
        <f t="shared" si="0"/>
        <v>#DIV/0!</v>
      </c>
    </row>
    <row r="48" spans="1:19">
      <c r="A48" t="s">
        <v>446</v>
      </c>
      <c r="B48" t="s">
        <v>423</v>
      </c>
      <c r="C48" s="59">
        <v>0</v>
      </c>
      <c r="D48" s="59">
        <v>0</v>
      </c>
      <c r="E48" s="59">
        <v>732.5</v>
      </c>
      <c r="F48" s="59">
        <v>0</v>
      </c>
      <c r="J48" s="71" t="s">
        <v>447</v>
      </c>
      <c r="K48" s="69"/>
      <c r="L48" s="70"/>
      <c r="M48" s="69">
        <v>128.23588797699995</v>
      </c>
      <c r="N48" s="70">
        <v>533283.72178513545</v>
      </c>
      <c r="O48" s="70">
        <v>533283.72178513545</v>
      </c>
      <c r="P48" s="69">
        <v>128.23588797699995</v>
      </c>
      <c r="Q48" s="70">
        <v>533283.72178513545</v>
      </c>
      <c r="R48" s="70">
        <v>533283.72178513545</v>
      </c>
      <c r="S48" s="53">
        <f t="shared" si="0"/>
        <v>4158.6152690796189</v>
      </c>
    </row>
    <row r="49" spans="1:19">
      <c r="A49" t="s">
        <v>295</v>
      </c>
      <c r="B49" t="s">
        <v>423</v>
      </c>
      <c r="C49" s="59">
        <v>35649.020000000004</v>
      </c>
      <c r="D49" s="59">
        <v>17669.150000000001</v>
      </c>
      <c r="E49" s="59">
        <v>27369.180000000004</v>
      </c>
      <c r="F49" s="59">
        <v>21458</v>
      </c>
      <c r="J49" s="71" t="s">
        <v>448</v>
      </c>
      <c r="K49" s="69">
        <v>48.586234389000005</v>
      </c>
      <c r="L49" s="70">
        <v>201224.77932709822</v>
      </c>
      <c r="M49" s="69">
        <v>82.426144220000126</v>
      </c>
      <c r="N49" s="70">
        <v>342778.6219246512</v>
      </c>
      <c r="O49" s="70">
        <v>141553.84259755298</v>
      </c>
      <c r="P49" s="69">
        <v>82.426144220000126</v>
      </c>
      <c r="Q49" s="70">
        <v>342778.6219246512</v>
      </c>
      <c r="R49" s="70">
        <v>141553.84259755298</v>
      </c>
      <c r="S49" s="53">
        <f t="shared" si="0"/>
        <v>4158.615269079618</v>
      </c>
    </row>
    <row r="50" spans="1:19">
      <c r="A50" t="s">
        <v>449</v>
      </c>
      <c r="B50" t="s">
        <v>423</v>
      </c>
      <c r="C50" s="59">
        <v>68420.900000000009</v>
      </c>
      <c r="D50" s="59">
        <v>80925.83</v>
      </c>
      <c r="E50" s="59">
        <v>0</v>
      </c>
      <c r="F50" s="59">
        <v>0</v>
      </c>
      <c r="J50" s="71" t="s">
        <v>450</v>
      </c>
      <c r="K50" s="69">
        <v>100.67052525699999</v>
      </c>
      <c r="L50" s="70">
        <v>416937.11159820197</v>
      </c>
      <c r="M50" s="69">
        <v>0</v>
      </c>
      <c r="N50" s="70">
        <v>0</v>
      </c>
      <c r="O50" s="70">
        <v>-416937.11159820197</v>
      </c>
      <c r="P50" s="69">
        <v>0</v>
      </c>
      <c r="Q50" s="70">
        <v>0</v>
      </c>
      <c r="R50" s="70">
        <v>-416937.11159820197</v>
      </c>
      <c r="S50" s="53" t="e">
        <f t="shared" si="0"/>
        <v>#DIV/0!</v>
      </c>
    </row>
    <row r="51" spans="1:19">
      <c r="A51" t="s">
        <v>298</v>
      </c>
      <c r="B51" t="s">
        <v>423</v>
      </c>
      <c r="C51" s="59">
        <v>0</v>
      </c>
      <c r="D51" s="59">
        <v>0</v>
      </c>
      <c r="E51" s="59">
        <v>129740.23000000001</v>
      </c>
      <c r="F51" s="59">
        <v>109098</v>
      </c>
      <c r="J51" s="71" t="s">
        <v>422</v>
      </c>
      <c r="K51" s="69">
        <v>323.70199241199998</v>
      </c>
      <c r="L51" s="70">
        <v>1340644.3781861351</v>
      </c>
      <c r="M51" s="69">
        <v>366.95427938499984</v>
      </c>
      <c r="N51" s="70">
        <v>1526021.6693045686</v>
      </c>
      <c r="O51" s="70">
        <v>185377.29111843347</v>
      </c>
      <c r="P51" s="69">
        <v>366.95427938499984</v>
      </c>
      <c r="Q51" s="70">
        <v>1526021.6693045686</v>
      </c>
      <c r="R51" s="70">
        <v>185377.29111843347</v>
      </c>
      <c r="S51" s="53">
        <f t="shared" si="0"/>
        <v>4158.615269079618</v>
      </c>
    </row>
    <row r="52" spans="1:19">
      <c r="A52" t="s">
        <v>451</v>
      </c>
      <c r="B52" t="s">
        <v>423</v>
      </c>
      <c r="C52" s="59">
        <v>721872.9</v>
      </c>
      <c r="D52" s="59">
        <v>0</v>
      </c>
      <c r="E52" s="59">
        <v>0</v>
      </c>
      <c r="F52" s="59">
        <v>0</v>
      </c>
      <c r="J52" s="68" t="s">
        <v>452</v>
      </c>
      <c r="K52" s="69">
        <v>1856.6664548840001</v>
      </c>
      <c r="L52" s="70">
        <v>7689570.9734740006</v>
      </c>
      <c r="M52" s="69">
        <v>1849.0700572009998</v>
      </c>
      <c r="N52" s="70">
        <v>7689570.9734740006</v>
      </c>
      <c r="O52" s="70"/>
      <c r="P52" s="74">
        <v>1849.0700572009998</v>
      </c>
      <c r="Q52" s="75">
        <v>7689570.9734740006</v>
      </c>
      <c r="R52" s="75"/>
      <c r="S52" s="53">
        <f t="shared" si="0"/>
        <v>4158.615269079618</v>
      </c>
    </row>
    <row r="53" spans="1:19">
      <c r="A53" t="s">
        <v>301</v>
      </c>
      <c r="B53" t="s">
        <v>423</v>
      </c>
      <c r="C53" s="59">
        <v>775753.63000000012</v>
      </c>
      <c r="D53" s="59">
        <v>482643.31</v>
      </c>
      <c r="E53" s="59">
        <v>575494.80999999994</v>
      </c>
      <c r="F53" s="59">
        <v>648779</v>
      </c>
      <c r="J53" s="71" t="s">
        <v>452</v>
      </c>
      <c r="K53" s="69">
        <v>1856.6664548840001</v>
      </c>
      <c r="L53" s="70">
        <v>7689570.9734740006</v>
      </c>
      <c r="M53" s="69">
        <v>1849.0700572009998</v>
      </c>
      <c r="N53" s="70">
        <v>7689570.9734740006</v>
      </c>
      <c r="O53" s="70"/>
      <c r="P53" s="69">
        <v>1849.0700572009998</v>
      </c>
      <c r="Q53" s="70">
        <v>7689570.9734740006</v>
      </c>
      <c r="R53" s="70"/>
      <c r="S53" s="53">
        <f t="shared" si="0"/>
        <v>4158.615269079618</v>
      </c>
    </row>
    <row r="54" spans="1:19" ht="15" thickBot="1">
      <c r="A54" t="s">
        <v>445</v>
      </c>
      <c r="B54" t="s">
        <v>423</v>
      </c>
      <c r="C54" s="59">
        <v>212311.19</v>
      </c>
      <c r="D54" s="59">
        <v>197150.16000000003</v>
      </c>
      <c r="E54" s="59">
        <v>224333.17</v>
      </c>
      <c r="F54" s="59">
        <v>0</v>
      </c>
      <c r="J54" s="68" t="s">
        <v>453</v>
      </c>
      <c r="K54" s="69">
        <v>5569.9993646519997</v>
      </c>
      <c r="L54" s="70">
        <v>23068712.920422003</v>
      </c>
      <c r="M54" s="69">
        <v>5547.2101716029983</v>
      </c>
      <c r="N54" s="70">
        <v>23068712.920421999</v>
      </c>
      <c r="O54" s="70">
        <v>-2.7939677238464355E-9</v>
      </c>
      <c r="P54" s="76">
        <v>5547.2101716029983</v>
      </c>
      <c r="Q54" s="77">
        <v>23068712.920421999</v>
      </c>
      <c r="R54" s="77">
        <v>-2.7939677238464355E-9</v>
      </c>
      <c r="S54" s="53">
        <f t="shared" si="0"/>
        <v>4158.615269079618</v>
      </c>
    </row>
    <row r="55" spans="1:19">
      <c r="A55" t="s">
        <v>304</v>
      </c>
      <c r="B55" t="s">
        <v>423</v>
      </c>
      <c r="C55" s="59">
        <v>0</v>
      </c>
      <c r="D55" s="59">
        <v>0</v>
      </c>
      <c r="E55" s="59">
        <v>0</v>
      </c>
      <c r="F55" s="59">
        <v>533284</v>
      </c>
    </row>
    <row r="56" spans="1:19">
      <c r="A56" t="s">
        <v>450</v>
      </c>
      <c r="B56" t="s">
        <v>423</v>
      </c>
      <c r="C56" s="59">
        <v>241014.15</v>
      </c>
      <c r="D56" s="59">
        <v>390185.97</v>
      </c>
      <c r="E56" s="59">
        <v>502468.35</v>
      </c>
      <c r="F56" s="59">
        <v>0</v>
      </c>
    </row>
    <row r="57" spans="1:19">
      <c r="A57" t="s">
        <v>306</v>
      </c>
      <c r="B57" t="s">
        <v>423</v>
      </c>
      <c r="C57" s="59">
        <v>395423</v>
      </c>
      <c r="D57" s="59">
        <v>355236.79000000004</v>
      </c>
      <c r="E57" s="59">
        <v>285854.32</v>
      </c>
      <c r="F57" s="59">
        <v>342779</v>
      </c>
    </row>
    <row r="58" spans="1:19">
      <c r="A58" t="s">
        <v>454</v>
      </c>
      <c r="B58" t="s">
        <v>423</v>
      </c>
      <c r="C58" s="59">
        <v>0</v>
      </c>
      <c r="D58" s="59">
        <v>0</v>
      </c>
      <c r="E58" s="59">
        <v>0</v>
      </c>
      <c r="F58" s="59">
        <v>-6.8212102632969618E-13</v>
      </c>
    </row>
    <row r="59" spans="1:19">
      <c r="A59" t="s">
        <v>455</v>
      </c>
      <c r="B59" t="s">
        <v>423</v>
      </c>
      <c r="C59" s="59">
        <v>0</v>
      </c>
      <c r="D59" s="59">
        <v>3000</v>
      </c>
      <c r="E59" s="59">
        <v>0</v>
      </c>
      <c r="F59" s="59">
        <v>0</v>
      </c>
    </row>
    <row r="60" spans="1:19">
      <c r="A60" t="s">
        <v>225</v>
      </c>
      <c r="B60" t="s">
        <v>456</v>
      </c>
      <c r="C60" s="59">
        <v>0</v>
      </c>
      <c r="D60" s="59">
        <v>1481669.63</v>
      </c>
      <c r="E60" s="59">
        <v>1894801.96</v>
      </c>
      <c r="F60" s="59">
        <v>2477907.5499999998</v>
      </c>
    </row>
    <row r="61" spans="1:19">
      <c r="A61" t="s">
        <v>250</v>
      </c>
      <c r="B61" t="s">
        <v>456</v>
      </c>
      <c r="C61" s="59">
        <v>0</v>
      </c>
      <c r="D61" s="59">
        <v>1538685.6099999999</v>
      </c>
      <c r="E61" s="59">
        <v>1785232.48</v>
      </c>
      <c r="F61" s="59">
        <v>2490179.9500000002</v>
      </c>
    </row>
    <row r="62" spans="1:19">
      <c r="A62" t="s">
        <v>272</v>
      </c>
      <c r="B62" t="s">
        <v>456</v>
      </c>
      <c r="C62" s="59">
        <v>0</v>
      </c>
      <c r="D62" s="59">
        <v>516119.51</v>
      </c>
      <c r="E62" s="59">
        <v>616765.94999999995</v>
      </c>
      <c r="F62" s="59">
        <v>565407</v>
      </c>
    </row>
    <row r="63" spans="1:19">
      <c r="A63" t="s">
        <v>274</v>
      </c>
      <c r="B63" t="s">
        <v>456</v>
      </c>
      <c r="C63" s="59">
        <v>0</v>
      </c>
      <c r="D63" s="59">
        <v>94336</v>
      </c>
      <c r="E63" s="59">
        <v>178671.46</v>
      </c>
      <c r="F63" s="59">
        <v>249393</v>
      </c>
    </row>
    <row r="64" spans="1:19">
      <c r="A64" t="s">
        <v>276</v>
      </c>
      <c r="B64" t="s">
        <v>456</v>
      </c>
      <c r="C64" s="59">
        <v>0</v>
      </c>
      <c r="D64" s="59">
        <v>256413</v>
      </c>
      <c r="E64" s="59">
        <v>355863.64</v>
      </c>
      <c r="F64" s="59">
        <v>319306</v>
      </c>
    </row>
    <row r="65" spans="1:6">
      <c r="A65" t="s">
        <v>436</v>
      </c>
      <c r="B65" t="s">
        <v>456</v>
      </c>
      <c r="C65" s="59">
        <v>0</v>
      </c>
      <c r="D65" s="59">
        <v>18171</v>
      </c>
      <c r="E65" s="59">
        <v>0</v>
      </c>
      <c r="F65" s="59">
        <v>0</v>
      </c>
    </row>
    <row r="66" spans="1:6">
      <c r="A66" t="s">
        <v>277</v>
      </c>
      <c r="B66" t="s">
        <v>456</v>
      </c>
      <c r="C66" s="59">
        <v>0</v>
      </c>
      <c r="D66" s="59">
        <v>0</v>
      </c>
      <c r="E66" s="59">
        <v>21176.1</v>
      </c>
      <c r="F66" s="59">
        <v>12162</v>
      </c>
    </row>
    <row r="67" spans="1:6">
      <c r="A67" t="s">
        <v>278</v>
      </c>
      <c r="B67" t="s">
        <v>456</v>
      </c>
      <c r="C67" s="59">
        <v>0</v>
      </c>
      <c r="D67" s="59">
        <v>0</v>
      </c>
      <c r="E67" s="59">
        <v>81972</v>
      </c>
      <c r="F67" s="59">
        <v>112199</v>
      </c>
    </row>
    <row r="68" spans="1:6">
      <c r="A68" t="s">
        <v>279</v>
      </c>
      <c r="B68" t="s">
        <v>456</v>
      </c>
      <c r="C68" s="59">
        <v>0</v>
      </c>
      <c r="D68" s="59">
        <v>524481.81999999995</v>
      </c>
      <c r="E68" s="59">
        <v>641430.9</v>
      </c>
      <c r="F68" s="59">
        <v>508524</v>
      </c>
    </row>
    <row r="69" spans="1:6">
      <c r="A69" t="s">
        <v>242</v>
      </c>
      <c r="B69" t="s">
        <v>457</v>
      </c>
      <c r="C69" s="59">
        <v>0</v>
      </c>
      <c r="D69" s="59">
        <v>0</v>
      </c>
      <c r="E69" s="59">
        <v>266165.75</v>
      </c>
      <c r="F69" s="59">
        <v>268457</v>
      </c>
    </row>
    <row r="70" spans="1:6">
      <c r="A70" t="s">
        <v>272</v>
      </c>
      <c r="B70" t="s">
        <v>457</v>
      </c>
      <c r="C70" s="59">
        <v>338270</v>
      </c>
      <c r="D70" s="59">
        <v>398860</v>
      </c>
      <c r="E70" s="59">
        <v>745575</v>
      </c>
      <c r="F70" s="59">
        <v>480528</v>
      </c>
    </row>
    <row r="71" spans="1:6">
      <c r="A71" t="s">
        <v>274</v>
      </c>
      <c r="B71" t="s">
        <v>457</v>
      </c>
      <c r="C71" s="59">
        <v>312875</v>
      </c>
      <c r="D71" s="59">
        <v>1328598.71</v>
      </c>
      <c r="E71" s="59">
        <v>1902421.19</v>
      </c>
      <c r="F71" s="59">
        <v>2291715</v>
      </c>
    </row>
    <row r="72" spans="1:6">
      <c r="A72" t="s">
        <v>276</v>
      </c>
      <c r="B72" t="s">
        <v>457</v>
      </c>
      <c r="C72" s="59">
        <v>206280</v>
      </c>
      <c r="D72" s="59">
        <v>783112.60000000009</v>
      </c>
      <c r="E72" s="59">
        <v>1065776.25</v>
      </c>
      <c r="F72" s="59">
        <v>1238363</v>
      </c>
    </row>
    <row r="73" spans="1:6">
      <c r="A73" t="s">
        <v>278</v>
      </c>
      <c r="B73" t="s">
        <v>457</v>
      </c>
      <c r="C73" s="59">
        <v>0</v>
      </c>
      <c r="D73" s="59">
        <v>0</v>
      </c>
      <c r="E73" s="59">
        <v>2125</v>
      </c>
      <c r="F73" s="59">
        <v>0</v>
      </c>
    </row>
    <row r="74" spans="1:6">
      <c r="A74" t="s">
        <v>279</v>
      </c>
      <c r="B74" t="s">
        <v>457</v>
      </c>
      <c r="C74" s="59">
        <v>441259.9</v>
      </c>
      <c r="D74" s="59">
        <v>978660</v>
      </c>
      <c r="E74" s="59">
        <v>1080975</v>
      </c>
      <c r="F74" s="59">
        <v>1036788</v>
      </c>
    </row>
    <row r="75" spans="1:6">
      <c r="A75" t="s">
        <v>287</v>
      </c>
      <c r="B75" t="s">
        <v>457</v>
      </c>
      <c r="C75" s="59">
        <v>0</v>
      </c>
      <c r="D75" s="59">
        <v>0</v>
      </c>
      <c r="E75" s="59">
        <v>2000</v>
      </c>
      <c r="F75" s="59">
        <v>0</v>
      </c>
    </row>
  </sheetData>
  <autoFilter ref="A21:F75" xr:uid="{00000000-0009-0000-0000-00000B000000}">
    <sortState xmlns:xlrd2="http://schemas.microsoft.com/office/spreadsheetml/2017/richdata2" ref="A19:F72">
      <sortCondition ref="B18:B72"/>
    </sortState>
  </autoFilter>
  <pageMargins left="0.7" right="0.7" top="0.75" bottom="0.75" header="0.3" footer="0.3"/>
  <pageSetup orientation="portrait" horizontalDpi="1200" verticalDpi="1200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118"/>
  <sheetViews>
    <sheetView topLeftCell="A46" workbookViewId="0"/>
  </sheetViews>
  <sheetFormatPr defaultColWidth="8.88671875" defaultRowHeight="14.4"/>
  <cols>
    <col min="1" max="1" width="43.44140625" bestFit="1" customWidth="1"/>
    <col min="2" max="2" width="35.109375" bestFit="1" customWidth="1"/>
    <col min="3" max="3" width="21.6640625" style="59" bestFit="1" customWidth="1"/>
    <col min="4" max="4" width="22.6640625" bestFit="1" customWidth="1"/>
  </cols>
  <sheetData>
    <row r="1" spans="1:2">
      <c r="A1" t="s">
        <v>320</v>
      </c>
      <c r="B1" t="s">
        <v>368</v>
      </c>
    </row>
    <row r="2" spans="1:2">
      <c r="A2" t="s">
        <v>458</v>
      </c>
      <c r="B2" t="s">
        <v>375</v>
      </c>
    </row>
    <row r="3" spans="1:2">
      <c r="A3" t="s">
        <v>370</v>
      </c>
      <c r="B3" t="s">
        <v>371</v>
      </c>
    </row>
    <row r="4" spans="1:2">
      <c r="A4" t="s">
        <v>378</v>
      </c>
      <c r="B4" t="s">
        <v>379</v>
      </c>
    </row>
    <row r="5" spans="1:2">
      <c r="A5" t="s">
        <v>459</v>
      </c>
      <c r="B5" t="s">
        <v>460</v>
      </c>
    </row>
    <row r="6" spans="1:2">
      <c r="A6" t="s">
        <v>381</v>
      </c>
      <c r="B6" t="s">
        <v>382</v>
      </c>
    </row>
    <row r="7" spans="1:2">
      <c r="A7" t="s">
        <v>384</v>
      </c>
      <c r="B7" t="s">
        <v>385</v>
      </c>
    </row>
    <row r="8" spans="1:2">
      <c r="A8" t="s">
        <v>387</v>
      </c>
      <c r="B8" t="s">
        <v>388</v>
      </c>
    </row>
    <row r="9" spans="1:2">
      <c r="A9" t="s">
        <v>390</v>
      </c>
      <c r="B9" t="s">
        <v>391</v>
      </c>
    </row>
    <row r="10" spans="1:2">
      <c r="A10" t="s">
        <v>393</v>
      </c>
      <c r="B10" t="s">
        <v>394</v>
      </c>
    </row>
    <row r="11" spans="1:2">
      <c r="A11" t="s">
        <v>396</v>
      </c>
      <c r="B11" t="s">
        <v>397</v>
      </c>
    </row>
    <row r="12" spans="1:2">
      <c r="A12" t="s">
        <v>399</v>
      </c>
      <c r="B12" t="s">
        <v>400</v>
      </c>
    </row>
    <row r="13" spans="1:2">
      <c r="A13" t="s">
        <v>401</v>
      </c>
      <c r="B13" t="s">
        <v>402</v>
      </c>
    </row>
    <row r="14" spans="1:2">
      <c r="A14" t="s">
        <v>403</v>
      </c>
      <c r="B14" t="s">
        <v>404</v>
      </c>
    </row>
    <row r="15" spans="1:2">
      <c r="A15" t="s">
        <v>411</v>
      </c>
      <c r="B15" t="s">
        <v>412</v>
      </c>
    </row>
    <row r="18" spans="1:4">
      <c r="C18" s="59" t="s">
        <v>461</v>
      </c>
    </row>
    <row r="19" spans="1:4">
      <c r="A19" t="s">
        <v>225</v>
      </c>
      <c r="B19" s="7" t="s">
        <v>462</v>
      </c>
      <c r="C19" s="59">
        <v>39440502.760000005</v>
      </c>
    </row>
    <row r="20" spans="1:4">
      <c r="A20" t="s">
        <v>225</v>
      </c>
      <c r="B20" s="7" t="s">
        <v>463</v>
      </c>
      <c r="C20" s="59">
        <v>26815726.710000005</v>
      </c>
      <c r="D20" s="60">
        <f>C20/C19</f>
        <v>0.67990326779495647</v>
      </c>
    </row>
    <row r="21" spans="1:4">
      <c r="A21" t="s">
        <v>234</v>
      </c>
      <c r="B21" s="7" t="s">
        <v>462</v>
      </c>
      <c r="C21" s="59">
        <v>33521838.710000001</v>
      </c>
      <c r="D21" s="60"/>
    </row>
    <row r="22" spans="1:4">
      <c r="A22" t="s">
        <v>234</v>
      </c>
      <c r="B22" s="7" t="s">
        <v>463</v>
      </c>
      <c r="C22" s="59">
        <v>17228248.306578681</v>
      </c>
      <c r="D22" s="60">
        <f t="shared" ref="D22:D64" si="0">C22/C21</f>
        <v>0.51394102977529299</v>
      </c>
    </row>
    <row r="23" spans="1:4">
      <c r="A23" t="s">
        <v>242</v>
      </c>
      <c r="B23" s="7" t="s">
        <v>462</v>
      </c>
      <c r="C23" s="59">
        <v>17508582.379999999</v>
      </c>
      <c r="D23" s="60"/>
    </row>
    <row r="24" spans="1:4">
      <c r="A24" t="s">
        <v>242</v>
      </c>
      <c r="B24" s="7" t="s">
        <v>463</v>
      </c>
      <c r="C24" s="59">
        <v>10248355.369999997</v>
      </c>
      <c r="D24" s="60">
        <f t="shared" si="0"/>
        <v>0.58533324672285647</v>
      </c>
    </row>
    <row r="25" spans="1:4">
      <c r="A25" t="s">
        <v>250</v>
      </c>
      <c r="B25" s="7" t="s">
        <v>462</v>
      </c>
      <c r="C25" s="59">
        <v>37344639.470000006</v>
      </c>
      <c r="D25" s="60"/>
    </row>
    <row r="26" spans="1:4">
      <c r="A26" t="s">
        <v>250</v>
      </c>
      <c r="B26" s="7" t="s">
        <v>463</v>
      </c>
      <c r="C26" s="59">
        <v>20871125.910513397</v>
      </c>
      <c r="D26" s="60">
        <f t="shared" si="0"/>
        <v>0.55887876296890637</v>
      </c>
    </row>
    <row r="27" spans="1:4">
      <c r="A27" t="s">
        <v>258</v>
      </c>
      <c r="B27" s="7" t="s">
        <v>462</v>
      </c>
      <c r="C27" s="59">
        <v>13192510.49</v>
      </c>
      <c r="D27" s="60"/>
    </row>
    <row r="28" spans="1:4">
      <c r="A28" t="s">
        <v>258</v>
      </c>
      <c r="B28" s="7" t="s">
        <v>463</v>
      </c>
      <c r="C28" s="59">
        <v>7492385.0000000009</v>
      </c>
      <c r="D28" s="60">
        <f t="shared" si="0"/>
        <v>0.56792715879811295</v>
      </c>
    </row>
    <row r="29" spans="1:4">
      <c r="A29" t="s">
        <v>264</v>
      </c>
      <c r="B29" s="7" t="s">
        <v>462</v>
      </c>
      <c r="C29" s="59">
        <v>28823685.100000005</v>
      </c>
      <c r="D29" s="60"/>
    </row>
    <row r="30" spans="1:4">
      <c r="A30" t="s">
        <v>264</v>
      </c>
      <c r="B30" s="7" t="s">
        <v>463</v>
      </c>
      <c r="C30" s="59">
        <v>15101711.349999996</v>
      </c>
      <c r="D30" s="60">
        <f t="shared" si="0"/>
        <v>0.5239340943951678</v>
      </c>
    </row>
    <row r="31" spans="1:4">
      <c r="A31" t="s">
        <v>268</v>
      </c>
      <c r="B31" s="7" t="s">
        <v>462</v>
      </c>
      <c r="C31" s="59">
        <v>14495215.439999999</v>
      </c>
      <c r="D31" s="60"/>
    </row>
    <row r="32" spans="1:4">
      <c r="A32" t="s">
        <v>268</v>
      </c>
      <c r="B32" s="7" t="s">
        <v>463</v>
      </c>
      <c r="C32" s="59">
        <v>2482567.4999999991</v>
      </c>
      <c r="D32" s="60">
        <f t="shared" si="0"/>
        <v>0.17126806498848418</v>
      </c>
    </row>
    <row r="33" spans="1:4">
      <c r="A33" t="s">
        <v>272</v>
      </c>
      <c r="B33" s="7" t="s">
        <v>462</v>
      </c>
      <c r="C33" s="59">
        <v>18774571.799999993</v>
      </c>
      <c r="D33" s="60"/>
    </row>
    <row r="34" spans="1:4">
      <c r="A34" t="s">
        <v>272</v>
      </c>
      <c r="B34" s="7" t="s">
        <v>463</v>
      </c>
      <c r="C34" s="59">
        <v>12059250.359999999</v>
      </c>
      <c r="D34" s="60">
        <f t="shared" si="0"/>
        <v>0.64231826368471445</v>
      </c>
    </row>
    <row r="35" spans="1:4">
      <c r="A35" t="s">
        <v>274</v>
      </c>
      <c r="B35" s="7" t="s">
        <v>462</v>
      </c>
      <c r="C35" s="59">
        <v>52716094.32</v>
      </c>
      <c r="D35" s="60"/>
    </row>
    <row r="36" spans="1:4">
      <c r="A36" t="s">
        <v>274</v>
      </c>
      <c r="B36" s="7" t="s">
        <v>463</v>
      </c>
      <c r="C36" s="59">
        <v>34667655.31000001</v>
      </c>
      <c r="D36" s="60">
        <f t="shared" si="0"/>
        <v>0.65762943475210034</v>
      </c>
    </row>
    <row r="37" spans="1:4">
      <c r="A37" t="s">
        <v>276</v>
      </c>
      <c r="B37" s="7" t="s">
        <v>462</v>
      </c>
      <c r="C37" s="59">
        <v>21669266.75</v>
      </c>
      <c r="D37" s="60"/>
    </row>
    <row r="38" spans="1:4">
      <c r="A38" t="s">
        <v>276</v>
      </c>
      <c r="B38" s="7" t="s">
        <v>463</v>
      </c>
      <c r="C38" s="59">
        <v>14889767.389999999</v>
      </c>
      <c r="D38" s="60">
        <f t="shared" si="0"/>
        <v>0.68713757423287058</v>
      </c>
    </row>
    <row r="39" spans="1:4">
      <c r="A39" t="s">
        <v>277</v>
      </c>
      <c r="B39" s="7" t="s">
        <v>462</v>
      </c>
      <c r="C39" s="59">
        <v>28789319.404078547</v>
      </c>
      <c r="D39" s="60"/>
    </row>
    <row r="40" spans="1:4">
      <c r="A40" t="s">
        <v>277</v>
      </c>
      <c r="B40" s="7" t="s">
        <v>463</v>
      </c>
      <c r="C40" s="59">
        <v>20367414.154078547</v>
      </c>
      <c r="D40" s="60">
        <f t="shared" si="0"/>
        <v>0.70746424631327409</v>
      </c>
    </row>
    <row r="41" spans="1:4">
      <c r="A41" t="s">
        <v>278</v>
      </c>
      <c r="B41" s="7" t="s">
        <v>462</v>
      </c>
      <c r="C41" s="59">
        <v>10174842.579999998</v>
      </c>
      <c r="D41" s="60"/>
    </row>
    <row r="42" spans="1:4">
      <c r="A42" t="s">
        <v>278</v>
      </c>
      <c r="B42" s="7" t="s">
        <v>463</v>
      </c>
      <c r="C42" s="59">
        <v>5941296.1899999995</v>
      </c>
      <c r="D42" s="60">
        <f t="shared" si="0"/>
        <v>0.58392020744167628</v>
      </c>
    </row>
    <row r="43" spans="1:4">
      <c r="A43" t="s">
        <v>279</v>
      </c>
      <c r="B43" s="7" t="s">
        <v>462</v>
      </c>
      <c r="C43" s="59">
        <v>24574306.630000003</v>
      </c>
      <c r="D43" s="60"/>
    </row>
    <row r="44" spans="1:4">
      <c r="A44" t="s">
        <v>279</v>
      </c>
      <c r="B44" s="7" t="s">
        <v>463</v>
      </c>
      <c r="C44" s="59">
        <v>16266652.239999996</v>
      </c>
      <c r="D44" s="60">
        <f t="shared" si="0"/>
        <v>0.66193738382599465</v>
      </c>
    </row>
    <row r="45" spans="1:4">
      <c r="A45" t="s">
        <v>280</v>
      </c>
      <c r="B45" s="7" t="s">
        <v>462</v>
      </c>
      <c r="C45" s="59">
        <v>23313831.66</v>
      </c>
      <c r="D45" s="60"/>
    </row>
    <row r="46" spans="1:4">
      <c r="A46" t="s">
        <v>280</v>
      </c>
      <c r="B46" s="7" t="s">
        <v>463</v>
      </c>
      <c r="C46" s="59">
        <v>22137034.539999999</v>
      </c>
      <c r="D46" s="60">
        <f t="shared" si="0"/>
        <v>0.94952365028786512</v>
      </c>
    </row>
    <row r="47" spans="1:4">
      <c r="A47" t="s">
        <v>283</v>
      </c>
      <c r="B47" s="7" t="s">
        <v>462</v>
      </c>
      <c r="C47" s="59">
        <v>20502997.230000004</v>
      </c>
      <c r="D47" s="60"/>
    </row>
    <row r="48" spans="1:4">
      <c r="A48" t="s">
        <v>283</v>
      </c>
      <c r="B48" s="7" t="s">
        <v>463</v>
      </c>
      <c r="C48" s="59">
        <v>19192075.190000005</v>
      </c>
      <c r="D48" s="60">
        <f t="shared" si="0"/>
        <v>0.93606193156570017</v>
      </c>
    </row>
    <row r="49" spans="1:4">
      <c r="A49" t="s">
        <v>285</v>
      </c>
      <c r="B49" s="7" t="s">
        <v>462</v>
      </c>
      <c r="C49" s="59">
        <v>22720079.580000002</v>
      </c>
      <c r="D49" s="60"/>
    </row>
    <row r="50" spans="1:4">
      <c r="A50" t="s">
        <v>285</v>
      </c>
      <c r="B50" s="7" t="s">
        <v>463</v>
      </c>
      <c r="C50" s="59">
        <v>21249618.000000004</v>
      </c>
      <c r="D50" s="60">
        <f t="shared" si="0"/>
        <v>0.93527920644721618</v>
      </c>
    </row>
    <row r="51" spans="1:4">
      <c r="A51" t="s">
        <v>287</v>
      </c>
      <c r="B51" s="7" t="s">
        <v>462</v>
      </c>
      <c r="C51" s="59">
        <v>41793077.390000008</v>
      </c>
      <c r="D51" s="60"/>
    </row>
    <row r="52" spans="1:4">
      <c r="A52" t="s">
        <v>287</v>
      </c>
      <c r="B52" s="7" t="s">
        <v>463</v>
      </c>
      <c r="C52" s="59">
        <v>38906985.390000008</v>
      </c>
      <c r="D52" s="60">
        <f t="shared" si="0"/>
        <v>0.93094330017701532</v>
      </c>
    </row>
    <row r="53" spans="1:4">
      <c r="A53" t="s">
        <v>290</v>
      </c>
      <c r="B53" s="7" t="s">
        <v>462</v>
      </c>
      <c r="C53" s="59">
        <v>30199141.739999998</v>
      </c>
      <c r="D53" s="60"/>
    </row>
    <row r="54" spans="1:4">
      <c r="A54" t="s">
        <v>290</v>
      </c>
      <c r="B54" s="7" t="s">
        <v>463</v>
      </c>
      <c r="C54" s="59">
        <v>28035473.550000001</v>
      </c>
      <c r="D54" s="60">
        <f t="shared" si="0"/>
        <v>0.92835332180536345</v>
      </c>
    </row>
    <row r="55" spans="1:4">
      <c r="A55" t="s">
        <v>293</v>
      </c>
      <c r="B55" s="7" t="s">
        <v>462</v>
      </c>
      <c r="C55" s="59">
        <v>54052229.969999991</v>
      </c>
      <c r="D55" s="60"/>
    </row>
    <row r="56" spans="1:4">
      <c r="A56" t="s">
        <v>293</v>
      </c>
      <c r="B56" s="7" t="s">
        <v>463</v>
      </c>
      <c r="C56" s="59">
        <v>51816531.069999993</v>
      </c>
      <c r="D56" s="60">
        <f t="shared" si="0"/>
        <v>0.95863817457224509</v>
      </c>
    </row>
    <row r="57" spans="1:4">
      <c r="A57" t="s">
        <v>295</v>
      </c>
      <c r="B57" s="7" t="s">
        <v>462</v>
      </c>
      <c r="C57" s="59">
        <v>6709599.2800000012</v>
      </c>
      <c r="D57" s="60"/>
    </row>
    <row r="58" spans="1:4">
      <c r="A58" t="s">
        <v>295</v>
      </c>
      <c r="B58" s="7" t="s">
        <v>463</v>
      </c>
      <c r="C58" s="59">
        <v>2098606.5400000005</v>
      </c>
      <c r="D58" s="60">
        <f t="shared" si="0"/>
        <v>0.31277673262180272</v>
      </c>
    </row>
    <row r="59" spans="1:4">
      <c r="A59" t="s">
        <v>298</v>
      </c>
      <c r="B59" s="7" t="s">
        <v>462</v>
      </c>
      <c r="C59" s="59">
        <v>31325415.310000002</v>
      </c>
      <c r="D59" s="60"/>
    </row>
    <row r="60" spans="1:4">
      <c r="A60" t="s">
        <v>298</v>
      </c>
      <c r="B60" s="7" t="s">
        <v>463</v>
      </c>
      <c r="C60" s="59">
        <v>19641105.510000002</v>
      </c>
      <c r="D60" s="60">
        <f t="shared" si="0"/>
        <v>0.62700223813888201</v>
      </c>
    </row>
    <row r="61" spans="1:4">
      <c r="A61" t="s">
        <v>301</v>
      </c>
      <c r="B61" s="7" t="s">
        <v>462</v>
      </c>
      <c r="C61" s="59">
        <v>32473829.190000001</v>
      </c>
      <c r="D61" s="60"/>
    </row>
    <row r="62" spans="1:4">
      <c r="A62" t="s">
        <v>301</v>
      </c>
      <c r="B62" s="7" t="s">
        <v>463</v>
      </c>
      <c r="C62" s="59">
        <v>17679838.900000028</v>
      </c>
      <c r="D62" s="60">
        <f t="shared" si="0"/>
        <v>0.54443345121259556</v>
      </c>
    </row>
    <row r="63" spans="1:4">
      <c r="A63" t="s">
        <v>306</v>
      </c>
      <c r="B63" s="7" t="s">
        <v>462</v>
      </c>
      <c r="C63" s="59">
        <v>20524457.779999997</v>
      </c>
      <c r="D63" s="60"/>
    </row>
    <row r="64" spans="1:4">
      <c r="A64" t="s">
        <v>306</v>
      </c>
      <c r="B64" s="7" t="s">
        <v>463</v>
      </c>
      <c r="C64" s="59">
        <v>12237510.68</v>
      </c>
      <c r="D64" s="60">
        <f t="shared" si="0"/>
        <v>0.59624038847568528</v>
      </c>
    </row>
    <row r="65" spans="1:4">
      <c r="A65" s="7" t="s">
        <v>464</v>
      </c>
      <c r="B65" s="7" t="s">
        <v>462</v>
      </c>
      <c r="C65">
        <v>78730305.899999991</v>
      </c>
    </row>
    <row r="66" spans="1:4">
      <c r="A66" s="7" t="s">
        <v>464</v>
      </c>
      <c r="B66" s="7" t="s">
        <v>463</v>
      </c>
      <c r="C66">
        <v>47586716.730000004</v>
      </c>
      <c r="D66" s="60">
        <f>C66/C65</f>
        <v>0.60442692538807996</v>
      </c>
    </row>
    <row r="67" spans="1:4">
      <c r="B67" s="7"/>
      <c r="D67" s="60"/>
    </row>
    <row r="68" spans="1:4">
      <c r="B68" s="7"/>
      <c r="D68" s="60"/>
    </row>
    <row r="69" spans="1:4">
      <c r="B69" s="7"/>
      <c r="D69" s="60"/>
    </row>
    <row r="72" spans="1:4">
      <c r="A72" t="s">
        <v>320</v>
      </c>
      <c r="B72" t="s">
        <v>368</v>
      </c>
      <c r="C72"/>
    </row>
    <row r="73" spans="1:4">
      <c r="A73" t="s">
        <v>370</v>
      </c>
      <c r="B73" t="s">
        <v>371</v>
      </c>
      <c r="C73"/>
    </row>
    <row r="74" spans="1:4">
      <c r="A74" t="s">
        <v>378</v>
      </c>
      <c r="B74" t="s">
        <v>379</v>
      </c>
      <c r="C74"/>
    </row>
    <row r="75" spans="1:4">
      <c r="A75" t="s">
        <v>381</v>
      </c>
      <c r="B75" t="s">
        <v>382</v>
      </c>
      <c r="C75"/>
    </row>
    <row r="76" spans="1:4">
      <c r="A76" t="s">
        <v>384</v>
      </c>
      <c r="B76" t="s">
        <v>385</v>
      </c>
      <c r="C76"/>
    </row>
    <row r="77" spans="1:4">
      <c r="A77" t="s">
        <v>387</v>
      </c>
      <c r="B77" t="s">
        <v>388</v>
      </c>
      <c r="C77"/>
    </row>
    <row r="78" spans="1:4">
      <c r="A78" t="s">
        <v>390</v>
      </c>
      <c r="B78" t="s">
        <v>391</v>
      </c>
      <c r="C78"/>
    </row>
    <row r="79" spans="1:4">
      <c r="A79" t="s">
        <v>393</v>
      </c>
      <c r="B79" t="s">
        <v>394</v>
      </c>
      <c r="C79"/>
    </row>
    <row r="80" spans="1:4">
      <c r="A80" t="s">
        <v>396</v>
      </c>
      <c r="B80" t="s">
        <v>397</v>
      </c>
      <c r="C80"/>
    </row>
    <row r="81" spans="1:5">
      <c r="A81" t="s">
        <v>399</v>
      </c>
      <c r="B81" t="s">
        <v>400</v>
      </c>
      <c r="C81"/>
    </row>
    <row r="82" spans="1:5">
      <c r="A82" t="s">
        <v>401</v>
      </c>
      <c r="B82" t="s">
        <v>402</v>
      </c>
      <c r="C82"/>
    </row>
    <row r="83" spans="1:5">
      <c r="A83" t="s">
        <v>403</v>
      </c>
      <c r="B83" t="s">
        <v>404</v>
      </c>
      <c r="C83"/>
    </row>
    <row r="84" spans="1:5">
      <c r="A84" t="s">
        <v>411</v>
      </c>
      <c r="B84" t="s">
        <v>412</v>
      </c>
      <c r="C84"/>
    </row>
    <row r="85" spans="1:5">
      <c r="C85"/>
    </row>
    <row r="86" spans="1:5">
      <c r="C86"/>
    </row>
    <row r="87" spans="1:5">
      <c r="C87"/>
      <c r="D87" t="s">
        <v>375</v>
      </c>
    </row>
    <row r="88" spans="1:5">
      <c r="C88"/>
      <c r="D88" t="s">
        <v>465</v>
      </c>
    </row>
    <row r="89" spans="1:5">
      <c r="A89" s="7" t="s">
        <v>466</v>
      </c>
      <c r="B89" s="7" t="s">
        <v>460</v>
      </c>
      <c r="C89" s="7" t="s">
        <v>462</v>
      </c>
      <c r="D89" s="59">
        <v>183052913.00000003</v>
      </c>
    </row>
    <row r="90" spans="1:5">
      <c r="A90" s="7" t="s">
        <v>466</v>
      </c>
      <c r="B90" s="7" t="s">
        <v>460</v>
      </c>
      <c r="C90" s="7" t="s">
        <v>463</v>
      </c>
      <c r="D90" s="59">
        <v>92655299.147092029</v>
      </c>
      <c r="E90" s="60">
        <f>D90/D89</f>
        <v>0.50616675598651639</v>
      </c>
    </row>
    <row r="91" spans="1:5">
      <c r="A91" s="7" t="s">
        <v>467</v>
      </c>
      <c r="B91" s="7" t="s">
        <v>460</v>
      </c>
      <c r="C91" s="7" t="s">
        <v>462</v>
      </c>
      <c r="D91" s="59">
        <v>155006646.06030005</v>
      </c>
      <c r="E91" s="60"/>
    </row>
    <row r="92" spans="1:5">
      <c r="A92" s="7" t="s">
        <v>467</v>
      </c>
      <c r="B92" s="7" t="s">
        <v>460</v>
      </c>
      <c r="C92" s="7" t="s">
        <v>463</v>
      </c>
      <c r="D92" s="59">
        <v>90313474.429223627</v>
      </c>
      <c r="E92" s="60">
        <f>D92/D91</f>
        <v>0.58264259452520661</v>
      </c>
    </row>
    <row r="93" spans="1:5">
      <c r="A93" s="7" t="s">
        <v>468</v>
      </c>
      <c r="B93" s="7" t="s">
        <v>460</v>
      </c>
      <c r="C93" s="7" t="s">
        <v>462</v>
      </c>
      <c r="D93" s="59">
        <v>235318179.76999998</v>
      </c>
      <c r="E93" s="60"/>
    </row>
    <row r="94" spans="1:5">
      <c r="A94" s="7" t="s">
        <v>468</v>
      </c>
      <c r="B94" s="7" t="s">
        <v>460</v>
      </c>
      <c r="C94" s="7" t="s">
        <v>463</v>
      </c>
      <c r="D94" s="59">
        <v>115399014.48999996</v>
      </c>
      <c r="E94" s="60">
        <f>D94/D93</f>
        <v>0.49039566174951282</v>
      </c>
    </row>
    <row r="95" spans="1:5">
      <c r="A95" s="7" t="s">
        <v>469</v>
      </c>
      <c r="B95" s="7" t="s">
        <v>460</v>
      </c>
      <c r="C95" s="7" t="s">
        <v>462</v>
      </c>
      <c r="D95" s="59">
        <v>135917269.05999994</v>
      </c>
      <c r="E95" s="60"/>
    </row>
    <row r="96" spans="1:5">
      <c r="A96" s="7" t="s">
        <v>469</v>
      </c>
      <c r="B96" s="7" t="s">
        <v>460</v>
      </c>
      <c r="C96" s="7" t="s">
        <v>463</v>
      </c>
      <c r="D96" s="59">
        <v>73937004.090000063</v>
      </c>
      <c r="E96" s="60">
        <f>D96/D95</f>
        <v>0.54398535669048043</v>
      </c>
    </row>
    <row r="97" spans="1:3">
      <c r="C97"/>
    </row>
    <row r="99" spans="1:3">
      <c r="A99" t="s">
        <v>320</v>
      </c>
      <c r="B99" t="s">
        <v>368</v>
      </c>
      <c r="C99"/>
    </row>
    <row r="100" spans="1:3">
      <c r="A100" t="s">
        <v>370</v>
      </c>
      <c r="B100" t="s">
        <v>371</v>
      </c>
      <c r="C100"/>
    </row>
    <row r="101" spans="1:3">
      <c r="A101" t="s">
        <v>378</v>
      </c>
      <c r="B101" t="s">
        <v>379</v>
      </c>
      <c r="C101"/>
    </row>
    <row r="102" spans="1:3">
      <c r="A102" t="s">
        <v>381</v>
      </c>
      <c r="B102" t="s">
        <v>382</v>
      </c>
      <c r="C102"/>
    </row>
    <row r="103" spans="1:3">
      <c r="A103" t="s">
        <v>384</v>
      </c>
      <c r="B103" t="s">
        <v>385</v>
      </c>
      <c r="C103"/>
    </row>
    <row r="104" spans="1:3">
      <c r="A104" t="s">
        <v>387</v>
      </c>
      <c r="B104" t="s">
        <v>388</v>
      </c>
      <c r="C104"/>
    </row>
    <row r="105" spans="1:3">
      <c r="A105" t="s">
        <v>390</v>
      </c>
      <c r="B105" t="s">
        <v>391</v>
      </c>
      <c r="C105"/>
    </row>
    <row r="106" spans="1:3">
      <c r="A106" t="s">
        <v>393</v>
      </c>
      <c r="B106" t="s">
        <v>394</v>
      </c>
      <c r="C106"/>
    </row>
    <row r="107" spans="1:3">
      <c r="A107" t="s">
        <v>396</v>
      </c>
      <c r="B107" t="s">
        <v>397</v>
      </c>
      <c r="C107"/>
    </row>
    <row r="108" spans="1:3">
      <c r="A108" t="s">
        <v>399</v>
      </c>
      <c r="B108" t="s">
        <v>400</v>
      </c>
      <c r="C108"/>
    </row>
    <row r="109" spans="1:3">
      <c r="A109" t="s">
        <v>401</v>
      </c>
      <c r="B109" t="s">
        <v>402</v>
      </c>
      <c r="C109"/>
    </row>
    <row r="110" spans="1:3">
      <c r="A110" t="s">
        <v>403</v>
      </c>
      <c r="B110" t="s">
        <v>404</v>
      </c>
      <c r="C110"/>
    </row>
    <row r="111" spans="1:3">
      <c r="A111" t="s">
        <v>411</v>
      </c>
      <c r="B111" t="s">
        <v>412</v>
      </c>
      <c r="C111"/>
    </row>
    <row r="112" spans="1:3">
      <c r="C112"/>
    </row>
    <row r="113" spans="1:5">
      <c r="C113"/>
    </row>
    <row r="114" spans="1:5">
      <c r="C114"/>
      <c r="D114" t="s">
        <v>375</v>
      </c>
    </row>
    <row r="115" spans="1:5">
      <c r="C115"/>
      <c r="D115" t="s">
        <v>465</v>
      </c>
    </row>
    <row r="116" spans="1:5">
      <c r="A116" s="7" t="s">
        <v>470</v>
      </c>
      <c r="B116" s="7" t="s">
        <v>460</v>
      </c>
      <c r="C116" s="7" t="s">
        <v>462</v>
      </c>
      <c r="D116" s="59">
        <v>760724799.24029982</v>
      </c>
    </row>
    <row r="117" spans="1:5">
      <c r="A117" s="7" t="s">
        <v>470</v>
      </c>
      <c r="B117" s="7" t="s">
        <v>460</v>
      </c>
      <c r="C117" s="7" t="s">
        <v>463</v>
      </c>
      <c r="D117" s="59">
        <v>394849040.90432382</v>
      </c>
      <c r="E117" s="60">
        <f>D117/D116</f>
        <v>0.51904320892212408</v>
      </c>
    </row>
    <row r="118" spans="1:5">
      <c r="C118"/>
    </row>
  </sheetData>
  <autoFilter ref="A18:D64" xr:uid="{00000000-0009-0000-0000-00000C000000}"/>
  <pageMargins left="0.7" right="0.7" top="0.75" bottom="0.75" header="0.3" footer="0.3"/>
  <pageSetup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67"/>
  <sheetViews>
    <sheetView workbookViewId="0"/>
  </sheetViews>
  <sheetFormatPr defaultColWidth="8.88671875" defaultRowHeight="14.4"/>
  <cols>
    <col min="1" max="1" width="43.33203125" bestFit="1" customWidth="1"/>
    <col min="2" max="2" width="72.33203125" bestFit="1" customWidth="1"/>
    <col min="3" max="3" width="12.44140625" bestFit="1" customWidth="1"/>
  </cols>
  <sheetData>
    <row r="1" spans="1:3">
      <c r="A1" s="7" t="s">
        <v>471</v>
      </c>
    </row>
    <row r="3" spans="1:3" ht="18">
      <c r="A3" s="8" t="s">
        <v>472</v>
      </c>
    </row>
    <row r="5" spans="1:3" ht="15" thickBot="1"/>
    <row r="6" spans="1:3">
      <c r="A6" s="9" t="s">
        <v>473</v>
      </c>
      <c r="B6" s="10" t="s">
        <v>474</v>
      </c>
      <c r="C6" s="17" t="s">
        <v>475</v>
      </c>
    </row>
    <row r="7" spans="1:3">
      <c r="A7" s="238" t="s">
        <v>476</v>
      </c>
      <c r="B7" t="s">
        <v>477</v>
      </c>
      <c r="C7" s="18">
        <v>0.64700000000000002</v>
      </c>
    </row>
    <row r="8" spans="1:3">
      <c r="A8" s="238"/>
      <c r="B8" t="s">
        <v>478</v>
      </c>
      <c r="C8" s="19">
        <v>18</v>
      </c>
    </row>
    <row r="9" spans="1:3">
      <c r="A9" s="238"/>
      <c r="C9" s="18"/>
    </row>
    <row r="10" spans="1:3">
      <c r="A10" s="238"/>
      <c r="B10" t="s">
        <v>479</v>
      </c>
      <c r="C10" s="19">
        <v>130.32387831086561</v>
      </c>
    </row>
    <row r="11" spans="1:3">
      <c r="A11" s="238"/>
      <c r="B11" s="11" t="s">
        <v>480</v>
      </c>
      <c r="C11" s="20">
        <v>7.2402154617147563</v>
      </c>
    </row>
    <row r="12" spans="1:3">
      <c r="A12" s="238"/>
      <c r="C12" s="19"/>
    </row>
    <row r="13" spans="1:3">
      <c r="A13" s="238"/>
      <c r="B13" t="s">
        <v>481</v>
      </c>
      <c r="C13" s="20">
        <v>535</v>
      </c>
    </row>
    <row r="14" spans="1:3">
      <c r="A14" s="238"/>
      <c r="B14" s="11" t="s">
        <v>480</v>
      </c>
      <c r="C14" s="20">
        <v>29.722222222222221</v>
      </c>
    </row>
    <row r="15" spans="1:3" ht="15" thickBot="1">
      <c r="A15" s="239"/>
      <c r="B15" s="12"/>
      <c r="C15" s="21"/>
    </row>
    <row r="16" spans="1:3">
      <c r="A16" s="14"/>
      <c r="C16" s="22"/>
    </row>
    <row r="17" spans="1:3">
      <c r="A17" s="238" t="s">
        <v>482</v>
      </c>
      <c r="B17" t="s">
        <v>483</v>
      </c>
      <c r="C17" s="23">
        <v>365</v>
      </c>
    </row>
    <row r="18" spans="1:3">
      <c r="A18" s="238"/>
      <c r="B18" s="11" t="s">
        <v>484</v>
      </c>
      <c r="C18" s="23">
        <v>20.277777777777779</v>
      </c>
    </row>
    <row r="19" spans="1:3">
      <c r="A19" s="238"/>
      <c r="B19" t="s">
        <v>485</v>
      </c>
      <c r="C19" s="24">
        <v>1096563</v>
      </c>
    </row>
    <row r="20" spans="1:3">
      <c r="A20" s="238"/>
      <c r="B20" t="s">
        <v>486</v>
      </c>
      <c r="C20" s="24">
        <v>493374</v>
      </c>
    </row>
    <row r="21" spans="1:3">
      <c r="A21" s="238"/>
      <c r="B21" t="s">
        <v>487</v>
      </c>
      <c r="C21" s="24">
        <v>603189</v>
      </c>
    </row>
    <row r="22" spans="1:3">
      <c r="A22" s="238"/>
      <c r="B22" t="s">
        <v>488</v>
      </c>
      <c r="C22" s="25">
        <v>0.5500723624634426</v>
      </c>
    </row>
    <row r="23" spans="1:3">
      <c r="A23" s="238"/>
      <c r="B23" t="s">
        <v>489</v>
      </c>
      <c r="C23" s="26">
        <v>-9.6927637536557421E-2</v>
      </c>
    </row>
    <row r="24" spans="1:3" ht="15" thickBot="1">
      <c r="A24" s="238"/>
      <c r="B24" t="s">
        <v>490</v>
      </c>
      <c r="C24" s="27">
        <v>-106287.26100000006</v>
      </c>
    </row>
    <row r="25" spans="1:3" ht="15.6" thickTop="1" thickBot="1">
      <c r="A25" s="13"/>
      <c r="B25" s="12"/>
      <c r="C25" s="21"/>
    </row>
    <row r="26" spans="1:3">
      <c r="A26" s="14"/>
      <c r="C26" s="22"/>
    </row>
    <row r="27" spans="1:3">
      <c r="A27" s="238" t="s">
        <v>491</v>
      </c>
      <c r="B27" t="s">
        <v>483</v>
      </c>
      <c r="C27" s="23">
        <v>292</v>
      </c>
    </row>
    <row r="28" spans="1:3">
      <c r="A28" s="238"/>
      <c r="B28" s="11" t="s">
        <v>484</v>
      </c>
      <c r="C28" s="23">
        <v>16.222222222222221</v>
      </c>
    </row>
    <row r="29" spans="1:3">
      <c r="A29" s="238"/>
      <c r="B29" t="s">
        <v>487</v>
      </c>
      <c r="C29" s="28">
        <v>415556.80000000005</v>
      </c>
    </row>
    <row r="30" spans="1:3">
      <c r="A30" s="238"/>
      <c r="B30" t="s">
        <v>488</v>
      </c>
      <c r="C30" s="29">
        <v>0.47370374524765113</v>
      </c>
    </row>
    <row r="31" spans="1:3" ht="15" thickBot="1">
      <c r="A31" s="238"/>
      <c r="B31" t="s">
        <v>490</v>
      </c>
      <c r="C31" s="27">
        <v>-152024.20880000002</v>
      </c>
    </row>
    <row r="32" spans="1:3" ht="15" thickTop="1">
      <c r="A32" s="15"/>
      <c r="B32" s="16"/>
      <c r="C32" s="30"/>
    </row>
    <row r="33" spans="1:3">
      <c r="A33" s="14"/>
      <c r="C33" s="22"/>
    </row>
    <row r="34" spans="1:3">
      <c r="A34" s="238" t="s">
        <v>492</v>
      </c>
      <c r="B34" t="s">
        <v>483</v>
      </c>
      <c r="C34" s="23">
        <v>328.5</v>
      </c>
    </row>
    <row r="35" spans="1:3">
      <c r="A35" s="238"/>
      <c r="B35" s="11" t="s">
        <v>484</v>
      </c>
      <c r="C35" s="23">
        <v>18.25</v>
      </c>
    </row>
    <row r="36" spans="1:3">
      <c r="A36" s="238"/>
      <c r="B36" t="s">
        <v>487</v>
      </c>
      <c r="C36" s="28">
        <v>509372.89999999991</v>
      </c>
    </row>
    <row r="37" spans="1:3">
      <c r="A37" s="238"/>
      <c r="B37" t="s">
        <v>488</v>
      </c>
      <c r="C37" s="29">
        <v>0.51613075481197968</v>
      </c>
    </row>
    <row r="38" spans="1:3" ht="15" thickBot="1">
      <c r="A38" s="238"/>
      <c r="B38" t="s">
        <v>490</v>
      </c>
      <c r="C38" s="27">
        <v>-129155.73490000004</v>
      </c>
    </row>
    <row r="39" spans="1:3" ht="15" thickTop="1">
      <c r="A39" s="15"/>
      <c r="B39" s="16"/>
      <c r="C39" s="30"/>
    </row>
    <row r="40" spans="1:3">
      <c r="A40" s="14"/>
      <c r="C40" s="22"/>
    </row>
    <row r="41" spans="1:3">
      <c r="A41" s="238" t="s">
        <v>493</v>
      </c>
      <c r="B41" t="s">
        <v>483</v>
      </c>
      <c r="C41" s="23">
        <v>346.75</v>
      </c>
    </row>
    <row r="42" spans="1:3">
      <c r="A42" s="238"/>
      <c r="B42" s="11" t="s">
        <v>484</v>
      </c>
      <c r="C42" s="23">
        <v>19.263888888888889</v>
      </c>
    </row>
    <row r="43" spans="1:3">
      <c r="A43" s="238"/>
      <c r="B43" t="s">
        <v>487</v>
      </c>
      <c r="C43" s="28">
        <v>556280.94999999995</v>
      </c>
    </row>
    <row r="44" spans="1:3">
      <c r="A44" s="238"/>
      <c r="B44" t="s">
        <v>488</v>
      </c>
      <c r="C44" s="29">
        <v>0.53399475883906544</v>
      </c>
    </row>
    <row r="45" spans="1:3" ht="15" thickBot="1">
      <c r="A45" s="238"/>
      <c r="B45" t="s">
        <v>490</v>
      </c>
      <c r="C45" s="27">
        <v>-117721.49795000011</v>
      </c>
    </row>
    <row r="46" spans="1:3" ht="15" thickTop="1">
      <c r="A46" s="15"/>
      <c r="B46" s="16"/>
      <c r="C46" s="30"/>
    </row>
    <row r="47" spans="1:3">
      <c r="A47" s="14"/>
      <c r="C47" s="23"/>
    </row>
    <row r="48" spans="1:3">
      <c r="A48" s="238" t="s">
        <v>494</v>
      </c>
      <c r="B48" t="s">
        <v>483</v>
      </c>
      <c r="C48" s="23">
        <v>383.25</v>
      </c>
    </row>
    <row r="49" spans="1:3">
      <c r="A49" s="238"/>
      <c r="B49" s="11" t="s">
        <v>484</v>
      </c>
      <c r="C49" s="23">
        <v>21.291666666666668</v>
      </c>
    </row>
    <row r="50" spans="1:3">
      <c r="A50" s="238"/>
      <c r="B50" t="s">
        <v>487</v>
      </c>
      <c r="C50" s="28">
        <v>650097.04999999993</v>
      </c>
    </row>
    <row r="51" spans="1:3">
      <c r="A51" s="238"/>
      <c r="B51" t="s">
        <v>488</v>
      </c>
      <c r="C51" s="29">
        <v>0.56461876574264092</v>
      </c>
    </row>
    <row r="52" spans="1:3" ht="15" thickBot="1">
      <c r="A52" s="238"/>
      <c r="B52" t="s">
        <v>490</v>
      </c>
      <c r="C52" s="27">
        <v>-94853.024050000007</v>
      </c>
    </row>
    <row r="53" spans="1:3" ht="15" thickTop="1">
      <c r="A53" s="15"/>
      <c r="B53" s="16"/>
      <c r="C53" s="31"/>
    </row>
    <row r="54" spans="1:3">
      <c r="A54" s="14"/>
      <c r="C54" s="28"/>
    </row>
    <row r="55" spans="1:3">
      <c r="A55" s="238" t="s">
        <v>495</v>
      </c>
      <c r="B55" t="s">
        <v>483</v>
      </c>
      <c r="C55" s="23">
        <v>401.50000000000006</v>
      </c>
    </row>
    <row r="56" spans="1:3">
      <c r="A56" s="238"/>
      <c r="B56" s="11" t="s">
        <v>484</v>
      </c>
      <c r="C56" s="23">
        <v>22.305555555555557</v>
      </c>
    </row>
    <row r="57" spans="1:3">
      <c r="A57" s="238"/>
      <c r="B57" t="s">
        <v>487</v>
      </c>
      <c r="C57" s="28">
        <v>697005.10000000033</v>
      </c>
    </row>
    <row r="58" spans="1:3">
      <c r="A58" s="238"/>
      <c r="B58" t="s">
        <v>488</v>
      </c>
      <c r="C58" s="29">
        <v>0.57784276872373053</v>
      </c>
    </row>
    <row r="59" spans="1:3" ht="15" thickBot="1">
      <c r="A59" s="238"/>
      <c r="B59" t="s">
        <v>490</v>
      </c>
      <c r="C59" s="27">
        <v>-83418.787099999841</v>
      </c>
    </row>
    <row r="60" spans="1:3" ht="15" thickTop="1">
      <c r="A60" s="15"/>
      <c r="B60" s="16"/>
      <c r="C60" s="32"/>
    </row>
    <row r="61" spans="1:3">
      <c r="A61" s="14"/>
      <c r="C61" s="25"/>
    </row>
    <row r="62" spans="1:3">
      <c r="A62" s="238" t="s">
        <v>496</v>
      </c>
      <c r="B62" t="s">
        <v>483</v>
      </c>
      <c r="C62" s="23">
        <v>438</v>
      </c>
    </row>
    <row r="63" spans="1:3">
      <c r="A63" s="238"/>
      <c r="B63" s="11" t="s">
        <v>484</v>
      </c>
      <c r="C63" s="23">
        <v>24.333333333333332</v>
      </c>
    </row>
    <row r="64" spans="1:3">
      <c r="A64" s="238"/>
      <c r="B64" t="s">
        <v>487</v>
      </c>
      <c r="C64" s="28">
        <v>790821.20000000019</v>
      </c>
    </row>
    <row r="65" spans="1:3">
      <c r="A65" s="238"/>
      <c r="B65" t="s">
        <v>488</v>
      </c>
      <c r="C65" s="29">
        <v>0.6009847739406371</v>
      </c>
    </row>
    <row r="66" spans="1:3" ht="15" thickBot="1">
      <c r="A66" s="238"/>
      <c r="B66" t="s">
        <v>490</v>
      </c>
      <c r="C66" s="27">
        <v>-60550.313199999859</v>
      </c>
    </row>
    <row r="67" spans="1:3" ht="15.6" thickTop="1" thickBot="1">
      <c r="A67" s="13"/>
      <c r="B67" s="12"/>
      <c r="C67" s="21"/>
    </row>
  </sheetData>
  <mergeCells count="8">
    <mergeCell ref="A55:A59"/>
    <mergeCell ref="A62:A66"/>
    <mergeCell ref="A7:A15"/>
    <mergeCell ref="A17:A24"/>
    <mergeCell ref="A27:A31"/>
    <mergeCell ref="A34:A38"/>
    <mergeCell ref="A41:A45"/>
    <mergeCell ref="A48:A52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O104"/>
  <sheetViews>
    <sheetView showGridLines="0" topLeftCell="A69" zoomScale="85" zoomScaleNormal="85" workbookViewId="0">
      <selection activeCell="C101" sqref="C101"/>
    </sheetView>
  </sheetViews>
  <sheetFormatPr defaultColWidth="8.88671875" defaultRowHeight="14.4"/>
  <cols>
    <col min="1" max="1" width="42.109375" customWidth="1"/>
    <col min="2" max="2" width="19" customWidth="1"/>
    <col min="3" max="3" width="6.88671875" customWidth="1"/>
    <col min="4" max="4" width="12.44140625" customWidth="1"/>
    <col min="5" max="5" width="6.88671875" customWidth="1"/>
    <col min="6" max="6" width="11" customWidth="1"/>
    <col min="7" max="7" width="6.88671875" customWidth="1"/>
    <col min="8" max="8" width="9.88671875" customWidth="1"/>
    <col min="9" max="9" width="6.88671875" customWidth="1"/>
    <col min="10" max="10" width="10.44140625" customWidth="1"/>
    <col min="11" max="11" width="6.88671875" customWidth="1"/>
    <col min="12" max="12" width="9.88671875" customWidth="1"/>
    <col min="13" max="13" width="6.88671875" customWidth="1"/>
    <col min="14" max="14" width="9.33203125" customWidth="1"/>
    <col min="15" max="15" width="33.44140625" style="63" customWidth="1"/>
  </cols>
  <sheetData>
    <row r="1" spans="1:15">
      <c r="A1" s="92" t="s">
        <v>54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128"/>
    </row>
    <row r="2" spans="1:15" ht="15" thickBot="1">
      <c r="A2" s="94" t="s">
        <v>55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128"/>
    </row>
    <row r="3" spans="1:15">
      <c r="A3" s="89" t="s">
        <v>56</v>
      </c>
      <c r="E3" t="s">
        <v>508</v>
      </c>
    </row>
    <row r="4" spans="1:15">
      <c r="A4" s="90" t="s">
        <v>57</v>
      </c>
    </row>
    <row r="5" spans="1:15">
      <c r="A5" s="200" t="s">
        <v>58</v>
      </c>
    </row>
    <row r="6" spans="1:15">
      <c r="A6" s="204" t="s">
        <v>58</v>
      </c>
    </row>
    <row r="7" spans="1:15" ht="15" thickBot="1">
      <c r="A7" s="201" t="s">
        <v>503</v>
      </c>
    </row>
    <row r="8" spans="1:15" s="149" customFormat="1" ht="12" customHeight="1" thickBot="1">
      <c r="D8" s="150"/>
      <c r="O8" s="153"/>
    </row>
    <row r="9" spans="1:15">
      <c r="A9" s="91" t="s">
        <v>59</v>
      </c>
      <c r="B9" s="78"/>
      <c r="C9" s="236">
        <v>2024</v>
      </c>
      <c r="D9" s="235"/>
      <c r="E9" s="234">
        <v>2025</v>
      </c>
      <c r="F9" s="235"/>
      <c r="G9" s="234" t="s">
        <v>504</v>
      </c>
      <c r="H9" s="235"/>
      <c r="I9" s="234" t="s">
        <v>505</v>
      </c>
      <c r="J9" s="235"/>
      <c r="K9" s="234" t="s">
        <v>506</v>
      </c>
      <c r="L9" s="235"/>
      <c r="M9" s="234" t="s">
        <v>507</v>
      </c>
      <c r="N9" s="235"/>
      <c r="O9" s="129"/>
    </row>
    <row r="10" spans="1:15">
      <c r="A10" s="97" t="s">
        <v>60</v>
      </c>
      <c r="B10" s="95" t="s">
        <v>61</v>
      </c>
      <c r="C10" s="116" t="s">
        <v>62</v>
      </c>
      <c r="D10" s="96" t="s">
        <v>63</v>
      </c>
      <c r="E10" s="95" t="s">
        <v>62</v>
      </c>
      <c r="F10" s="96" t="s">
        <v>63</v>
      </c>
      <c r="G10" s="95" t="s">
        <v>62</v>
      </c>
      <c r="H10" s="96" t="s">
        <v>63</v>
      </c>
      <c r="I10" s="95" t="s">
        <v>62</v>
      </c>
      <c r="J10" s="96" t="s">
        <v>63</v>
      </c>
      <c r="K10" s="95" t="s">
        <v>62</v>
      </c>
      <c r="L10" s="96" t="s">
        <v>63</v>
      </c>
      <c r="M10" s="95" t="s">
        <v>62</v>
      </c>
      <c r="N10" s="96" t="s">
        <v>63</v>
      </c>
      <c r="O10" s="130" t="s">
        <v>64</v>
      </c>
    </row>
    <row r="11" spans="1:15">
      <c r="A11" s="192"/>
      <c r="B11" s="189"/>
      <c r="C11" s="190"/>
      <c r="D11" s="188"/>
      <c r="E11" s="191"/>
      <c r="F11" s="188" cm="1">
        <f t="array" ref="F11">IFERROR(INDEX('Salary Rates'!H:H,MATCH(($B$11),'Salary Rates'!$A:$A,0),FALSE)&amp;"",0)*E11</f>
        <v>0</v>
      </c>
      <c r="G11" s="191"/>
      <c r="H11" s="188" cm="1">
        <f t="array" ref="H11">IFERROR(INDEX('Salary Rates'!I:I,MATCH(($B$11),'Salary Rates'!$A:$A,0),FALSE)&amp;"",0)*G11</f>
        <v>0</v>
      </c>
      <c r="I11" s="191"/>
      <c r="J11" s="188" cm="1">
        <f t="array" ref="J11">IFERROR(INDEX('Salary Rates'!J:J,MATCH(($B$11),'Salary Rates'!$A:$A,0),FALSE)&amp;"",0)*I11</f>
        <v>0</v>
      </c>
      <c r="K11" s="191"/>
      <c r="L11" s="188" cm="1">
        <f t="array" ref="L11">IFERROR(INDEX('Salary Rates'!K:K,MATCH(($B$11),'Salary Rates'!$A:$A,0),FALSE)&amp;"",0)*K11</f>
        <v>0</v>
      </c>
      <c r="M11" s="191"/>
      <c r="N11" s="188" cm="1">
        <f t="array" ref="N11">IFERROR(INDEX('Salary Rates'!L:L,MATCH(($B$11),'Salary Rates'!$A:$A,0),FALSE)&amp;"",0)*M11</f>
        <v>0</v>
      </c>
      <c r="O11" s="133"/>
    </row>
    <row r="12" spans="1:15">
      <c r="A12" s="192"/>
      <c r="B12" s="189"/>
      <c r="C12" s="190"/>
      <c r="D12" s="188"/>
      <c r="E12" s="191"/>
      <c r="F12" s="188" cm="1">
        <f t="array" ref="F12">IFERROR(INDEX('Salary Rates'!H:H,MATCH(($B$11),'Salary Rates'!$A:$A,0),FALSE)&amp;"",0)*E12</f>
        <v>0</v>
      </c>
      <c r="G12" s="191"/>
      <c r="H12" s="188" cm="1">
        <f t="array" ref="H12">IFERROR(INDEX('Salary Rates'!I:I,MATCH(($B$11),'Salary Rates'!$A:$A,0),FALSE)&amp;"",0)*G12</f>
        <v>0</v>
      </c>
      <c r="I12" s="191"/>
      <c r="J12" s="188" cm="1">
        <f t="array" ref="J12">IFERROR(INDEX('Salary Rates'!J:J,MATCH(($B$11),'Salary Rates'!$A:$A,0),FALSE)&amp;"",0)*I12</f>
        <v>0</v>
      </c>
      <c r="K12" s="191"/>
      <c r="L12" s="188" cm="1">
        <f t="array" ref="L12">IFERROR(INDEX('Salary Rates'!K:K,MATCH(($B$11),'Salary Rates'!$A:$A,0),FALSE)&amp;"",0)*K12</f>
        <v>0</v>
      </c>
      <c r="M12" s="191"/>
      <c r="N12" s="188" cm="1">
        <f t="array" ref="N12">IFERROR(INDEX('Salary Rates'!L:L,MATCH(($B$11),'Salary Rates'!$A:$A,0),FALSE)&amp;"",0)*M12</f>
        <v>0</v>
      </c>
      <c r="O12" s="133"/>
    </row>
    <row r="13" spans="1:15">
      <c r="A13" s="192"/>
      <c r="B13" s="189"/>
      <c r="C13" s="190"/>
      <c r="D13" s="188"/>
      <c r="E13" s="190"/>
      <c r="F13" s="188" cm="1">
        <f t="array" ref="F13">IFERROR(INDEX('Salary Rates'!H:H,MATCH(($B$11),'Salary Rates'!$A:$A,0),FALSE)&amp;"",0)*E13</f>
        <v>0</v>
      </c>
      <c r="G13" s="191"/>
      <c r="H13" s="188" cm="1">
        <f t="array" ref="H13">IFERROR(INDEX('Salary Rates'!I:I,MATCH(($B$11),'Salary Rates'!$A:$A,0),FALSE)&amp;"",0)*G13</f>
        <v>0</v>
      </c>
      <c r="I13" s="191"/>
      <c r="J13" s="188" cm="1">
        <f t="array" ref="J13">IFERROR(INDEX('Salary Rates'!J:J,MATCH(($B$11),'Salary Rates'!$A:$A,0),FALSE)&amp;"",0)*I13</f>
        <v>0</v>
      </c>
      <c r="K13" s="190"/>
      <c r="L13" s="188" cm="1">
        <f t="array" ref="L13">IFERROR(INDEX('Salary Rates'!K:K,MATCH(($B$11),'Salary Rates'!$A:$A,0),FALSE)&amp;"",0)*K13</f>
        <v>0</v>
      </c>
      <c r="M13" s="190"/>
      <c r="N13" s="188" cm="1">
        <f t="array" ref="N13">IFERROR(INDEX('Salary Rates'!L:L,MATCH(($B$11),'Salary Rates'!$A:$A,0),FALSE)&amp;"",0)*M13</f>
        <v>0</v>
      </c>
      <c r="O13" s="132"/>
    </row>
    <row r="14" spans="1:15">
      <c r="A14" s="192"/>
      <c r="B14" s="189"/>
      <c r="C14" s="190"/>
      <c r="D14" s="188" cm="1">
        <f t="array" ref="D14">IFERROR(INDEX('Salary Rates'!F:F,MATCH((B14),'Salary Rates'!A:A,0),FALSE)&amp;"",0)*C14</f>
        <v>0</v>
      </c>
      <c r="E14" s="191"/>
      <c r="F14" s="188" cm="1">
        <f t="array" ref="F14">IFERROR(INDEX('Salary Rates'!H:H,MATCH(($B$11),'Salary Rates'!$A:$A,0),FALSE)&amp;"",0)*E14</f>
        <v>0</v>
      </c>
      <c r="G14" s="191"/>
      <c r="H14" s="188" cm="1">
        <f t="array" ref="H14">IFERROR(INDEX('Salary Rates'!I:I,MATCH(($B$11),'Salary Rates'!$A:$A,0),FALSE)&amp;"",0)*G14</f>
        <v>0</v>
      </c>
      <c r="I14" s="191"/>
      <c r="J14" s="188" cm="1">
        <f t="array" ref="J14">IFERROR(INDEX('Salary Rates'!J:J,MATCH(($B$11),'Salary Rates'!$A:$A,0),FALSE)&amp;"",0)*I14</f>
        <v>0</v>
      </c>
      <c r="K14" s="191"/>
      <c r="L14" s="188" cm="1">
        <f t="array" ref="L14">IFERROR(INDEX('Salary Rates'!K:K,MATCH(($B$11),'Salary Rates'!$A:$A,0),FALSE)&amp;"",0)*K14</f>
        <v>0</v>
      </c>
      <c r="M14" s="191"/>
      <c r="N14" s="188" cm="1">
        <f t="array" ref="N14">IFERROR(INDEX('Salary Rates'!L:L,MATCH(($B$11),'Salary Rates'!$A:$A,0),FALSE)&amp;"",0)*M14</f>
        <v>0</v>
      </c>
      <c r="O14" s="132"/>
    </row>
    <row r="15" spans="1:15">
      <c r="A15" s="193"/>
      <c r="B15" s="189"/>
      <c r="C15" s="190"/>
      <c r="D15" s="188" cm="1">
        <f t="array" ref="D15">IFERROR(INDEX('Salary Rates'!F:F,MATCH((B15),'Salary Rates'!A:A,0),FALSE)&amp;"",0)*C15</f>
        <v>0</v>
      </c>
      <c r="E15" s="191"/>
      <c r="F15" s="188" cm="1">
        <f t="array" ref="F15">IFERROR(INDEX('Salary Rates'!H:H,MATCH(($B$11),'Salary Rates'!$A:$A,0),FALSE)&amp;"",0)*E15</f>
        <v>0</v>
      </c>
      <c r="G15" s="191"/>
      <c r="H15" s="188" cm="1">
        <f t="array" ref="H15">IFERROR(INDEX('Salary Rates'!I:I,MATCH(($B$11),'Salary Rates'!$A:$A,0),FALSE)&amp;"",0)*G15</f>
        <v>0</v>
      </c>
      <c r="I15" s="191"/>
      <c r="J15" s="188" cm="1">
        <f t="array" ref="J15">IFERROR(INDEX('Salary Rates'!J:J,MATCH(($B$11),'Salary Rates'!$A:$A,0),FALSE)&amp;"",0)*I15</f>
        <v>0</v>
      </c>
      <c r="K15" s="191"/>
      <c r="L15" s="188" cm="1">
        <f t="array" ref="L15">IFERROR(INDEX('Salary Rates'!K:K,MATCH(($B$11),'Salary Rates'!$A:$A,0),FALSE)&amp;"",0)*K15</f>
        <v>0</v>
      </c>
      <c r="M15" s="191"/>
      <c r="N15" s="188" cm="1">
        <f t="array" ref="N15">IFERROR(INDEX('Salary Rates'!L:L,MATCH(($B$11),'Salary Rates'!$A:$A,0),FALSE)&amp;"",0)*M15</f>
        <v>0</v>
      </c>
      <c r="O15" s="132"/>
    </row>
    <row r="16" spans="1:15">
      <c r="A16" s="193"/>
      <c r="B16" s="189"/>
      <c r="C16" s="190"/>
      <c r="D16" s="188" cm="1">
        <f t="array" ref="D16">IFERROR(INDEX('Salary Rates'!F:F,MATCH((B16),'Salary Rates'!A:A,0),FALSE)&amp;"",0)*C16</f>
        <v>0</v>
      </c>
      <c r="E16" s="191"/>
      <c r="F16" s="188" cm="1">
        <f t="array" ref="F16">IFERROR(INDEX('Salary Rates'!H:H,MATCH(($B$11),'Salary Rates'!$A:$A,0),FALSE)&amp;"",0)*E16</f>
        <v>0</v>
      </c>
      <c r="G16" s="191"/>
      <c r="H16" s="188" cm="1">
        <f t="array" ref="H16">IFERROR(INDEX('Salary Rates'!I:I,MATCH(($B$11),'Salary Rates'!$A:$A,0),FALSE)&amp;"",0)*G16</f>
        <v>0</v>
      </c>
      <c r="I16" s="191"/>
      <c r="J16" s="188" cm="1">
        <f t="array" ref="J16">IFERROR(INDEX('Salary Rates'!J:J,MATCH(($B$11),'Salary Rates'!$A:$A,0),FALSE)&amp;"",0)*I16</f>
        <v>0</v>
      </c>
      <c r="K16" s="191"/>
      <c r="L16" s="188" cm="1">
        <f t="array" ref="L16">IFERROR(INDEX('Salary Rates'!K:K,MATCH(($B$11),'Salary Rates'!$A:$A,0),FALSE)&amp;"",0)*K16</f>
        <v>0</v>
      </c>
      <c r="M16" s="191"/>
      <c r="N16" s="188" cm="1">
        <f t="array" ref="N16">IFERROR(INDEX('Salary Rates'!L:L,MATCH(($B$11),'Salary Rates'!$A:$A,0),FALSE)&amp;"",0)*M16</f>
        <v>0</v>
      </c>
      <c r="O16" s="132"/>
    </row>
    <row r="17" spans="1:15">
      <c r="A17" s="193"/>
      <c r="B17" s="189"/>
      <c r="C17" s="190"/>
      <c r="D17" s="188" cm="1">
        <f t="array" ref="D17">IFERROR(INDEX('Salary Rates'!F:F,MATCH((B17),'Salary Rates'!A:A,0),FALSE)&amp;"",0)*C17</f>
        <v>0</v>
      </c>
      <c r="E17" s="191"/>
      <c r="F17" s="188" cm="1">
        <f t="array" ref="F17">IFERROR(INDEX('Salary Rates'!H:H,MATCH(($B$11),'Salary Rates'!$A:$A,0),FALSE)&amp;"",0)*E17</f>
        <v>0</v>
      </c>
      <c r="G17" s="191"/>
      <c r="H17" s="188" cm="1">
        <f t="array" ref="H17">IFERROR(INDEX('Salary Rates'!I:I,MATCH(($B$11),'Salary Rates'!$A:$A,0),FALSE)&amp;"",0)*G17</f>
        <v>0</v>
      </c>
      <c r="I17" s="191"/>
      <c r="J17" s="188" cm="1">
        <f t="array" ref="J17">IFERROR(INDEX('Salary Rates'!J:J,MATCH(($B$11),'Salary Rates'!$A:$A,0),FALSE)&amp;"",0)*I17</f>
        <v>0</v>
      </c>
      <c r="K17" s="191"/>
      <c r="L17" s="188" cm="1">
        <f t="array" ref="L17">IFERROR(INDEX('Salary Rates'!K:K,MATCH(($B$11),'Salary Rates'!$A:$A,0),FALSE)&amp;"",0)*K17</f>
        <v>0</v>
      </c>
      <c r="M17" s="191"/>
      <c r="N17" s="188" cm="1">
        <f t="array" ref="N17">IFERROR(INDEX('Salary Rates'!L:L,MATCH(($B$11),'Salary Rates'!$A:$A,0),FALSE)&amp;"",0)*M17</f>
        <v>0</v>
      </c>
      <c r="O17" s="132"/>
    </row>
    <row r="18" spans="1:15">
      <c r="A18" s="193"/>
      <c r="B18" s="189"/>
      <c r="C18" s="190"/>
      <c r="D18" s="188" cm="1">
        <f t="array" ref="D18">IFERROR(INDEX('Salary Rates'!F:F,MATCH((B18),'Salary Rates'!A:A,0),FALSE)&amp;"",0)*C18</f>
        <v>0</v>
      </c>
      <c r="E18" s="191"/>
      <c r="F18" s="188" cm="1">
        <f t="array" ref="F18">IFERROR(INDEX('Salary Rates'!H:H,MATCH(($B$11),'Salary Rates'!$A:$A,0),FALSE)&amp;"",0)*E18</f>
        <v>0</v>
      </c>
      <c r="G18" s="191"/>
      <c r="H18" s="188" cm="1">
        <f t="array" ref="H18">IFERROR(INDEX('Salary Rates'!I:I,MATCH(($B$11),'Salary Rates'!$A:$A,0),FALSE)&amp;"",0)*G18</f>
        <v>0</v>
      </c>
      <c r="I18" s="191"/>
      <c r="J18" s="188" cm="1">
        <f t="array" ref="J18">IFERROR(INDEX('Salary Rates'!J:J,MATCH(($B$11),'Salary Rates'!$A:$A,0),FALSE)&amp;"",0)*I18</f>
        <v>0</v>
      </c>
      <c r="K18" s="191"/>
      <c r="L18" s="188" cm="1">
        <f t="array" ref="L18">IFERROR(INDEX('Salary Rates'!K:K,MATCH(($B$11),'Salary Rates'!$A:$A,0),FALSE)&amp;"",0)*K18</f>
        <v>0</v>
      </c>
      <c r="M18" s="191"/>
      <c r="N18" s="188" cm="1">
        <f t="array" ref="N18">IFERROR(INDEX('Salary Rates'!L:L,MATCH(($B$11),'Salary Rates'!$A:$A,0),FALSE)&amp;"",0)*M18</f>
        <v>0</v>
      </c>
      <c r="O18" s="132"/>
    </row>
    <row r="19" spans="1:15">
      <c r="A19" s="192"/>
      <c r="B19" s="189"/>
      <c r="C19" s="190"/>
      <c r="D19" s="188" cm="1">
        <f t="array" ref="D19">IFERROR(INDEX('Salary Rates'!F:F,MATCH((B19),'Salary Rates'!A:A,0),FALSE)&amp;"",0)*C19</f>
        <v>0</v>
      </c>
      <c r="E19" s="191"/>
      <c r="F19" s="188" cm="1">
        <f t="array" ref="F19">IFERROR(INDEX('Salary Rates'!H:H,MATCH(($B$11),'Salary Rates'!$A:$A,0),FALSE)&amp;"",0)*E19</f>
        <v>0</v>
      </c>
      <c r="G19" s="191"/>
      <c r="H19" s="188" cm="1">
        <f t="array" ref="H19">IFERROR(INDEX('Salary Rates'!I:I,MATCH(($B$11),'Salary Rates'!$A:$A,0),FALSE)&amp;"",0)*G19</f>
        <v>0</v>
      </c>
      <c r="I19" s="191"/>
      <c r="J19" s="188" cm="1">
        <f t="array" ref="J19">IFERROR(INDEX('Salary Rates'!J:J,MATCH(($B$11),'Salary Rates'!$A:$A,0),FALSE)&amp;"",0)*I19</f>
        <v>0</v>
      </c>
      <c r="K19" s="191"/>
      <c r="L19" s="188" cm="1">
        <f t="array" ref="L19">IFERROR(INDEX('Salary Rates'!K:K,MATCH(($B$11),'Salary Rates'!$A:$A,0),FALSE)&amp;"",0)*K19</f>
        <v>0</v>
      </c>
      <c r="M19" s="191"/>
      <c r="N19" s="188" cm="1">
        <f t="array" ref="N19">IFERROR(INDEX('Salary Rates'!L:L,MATCH(($B$11),'Salary Rates'!$A:$A,0),FALSE)&amp;"",0)*M19</f>
        <v>0</v>
      </c>
      <c r="O19" s="132"/>
    </row>
    <row r="20" spans="1:15">
      <c r="A20" s="192"/>
      <c r="B20" s="189"/>
      <c r="C20" s="190"/>
      <c r="D20" s="188" cm="1">
        <f t="array" ref="D20">IFERROR(INDEX('Salary Rates'!F:F,MATCH((B20),'Salary Rates'!A:A,0),FALSE)&amp;"",0)*C20</f>
        <v>0</v>
      </c>
      <c r="E20" s="191"/>
      <c r="F20" s="188" cm="1">
        <f t="array" ref="F20">IFERROR(INDEX('Salary Rates'!H:H,MATCH(($B$11),'Salary Rates'!$A:$A,0),FALSE)&amp;"",0)*E20</f>
        <v>0</v>
      </c>
      <c r="G20" s="191"/>
      <c r="H20" s="188" cm="1">
        <f t="array" ref="H20">IFERROR(INDEX('Salary Rates'!I:I,MATCH(($B$11),'Salary Rates'!$A:$A,0),FALSE)&amp;"",0)*G20</f>
        <v>0</v>
      </c>
      <c r="I20" s="191"/>
      <c r="J20" s="188" cm="1">
        <f t="array" ref="J20">IFERROR(INDEX('Salary Rates'!J:J,MATCH(($B$11),'Salary Rates'!$A:$A,0),FALSE)&amp;"",0)*I20</f>
        <v>0</v>
      </c>
      <c r="K20" s="191"/>
      <c r="L20" s="188" cm="1">
        <f t="array" ref="L20">IFERROR(INDEX('Salary Rates'!K:K,MATCH(($B$11),'Salary Rates'!$A:$A,0),FALSE)&amp;"",0)*K20</f>
        <v>0</v>
      </c>
      <c r="M20" s="191"/>
      <c r="N20" s="188" cm="1">
        <f t="array" ref="N20">IFERROR(INDEX('Salary Rates'!L:L,MATCH(($B$11),'Salary Rates'!$A:$A,0),FALSE)&amp;"",0)*M20</f>
        <v>0</v>
      </c>
      <c r="O20" s="132"/>
    </row>
    <row r="21" spans="1:15" ht="15" thickBot="1">
      <c r="A21" s="13"/>
      <c r="B21" s="12"/>
      <c r="C21" s="138"/>
      <c r="D21" s="139">
        <f>SUM(D11:D20)</f>
        <v>0</v>
      </c>
      <c r="E21" s="140"/>
      <c r="F21" s="139">
        <f>SUM(F11:F20)</f>
        <v>0</v>
      </c>
      <c r="G21" s="140"/>
      <c r="H21" s="139">
        <f>SUM(H11:H20)</f>
        <v>0</v>
      </c>
      <c r="I21" s="140"/>
      <c r="J21" s="139">
        <f>SUM(J11:J20)</f>
        <v>0</v>
      </c>
      <c r="K21" s="140"/>
      <c r="L21" s="139">
        <f>SUM(L11:L20)</f>
        <v>0</v>
      </c>
      <c r="M21" s="140"/>
      <c r="N21" s="139">
        <f>SUM(N11:N20)</f>
        <v>0</v>
      </c>
      <c r="O21" s="131"/>
    </row>
    <row r="22" spans="1:15">
      <c r="A22" s="91"/>
      <c r="B22" s="78"/>
      <c r="C22" s="91"/>
      <c r="D22" s="79"/>
      <c r="E22" s="78"/>
      <c r="F22" s="79"/>
      <c r="G22" s="78"/>
      <c r="H22" s="79"/>
      <c r="I22" s="78"/>
      <c r="J22" s="79"/>
      <c r="K22" s="78"/>
      <c r="L22" s="79"/>
      <c r="M22" s="78"/>
      <c r="N22" s="79"/>
      <c r="O22" s="129"/>
    </row>
    <row r="23" spans="1:15">
      <c r="A23" s="97" t="s">
        <v>66</v>
      </c>
      <c r="B23" s="95"/>
      <c r="C23" s="116" t="s">
        <v>62</v>
      </c>
      <c r="D23" s="96" t="s">
        <v>63</v>
      </c>
      <c r="E23" s="95" t="s">
        <v>62</v>
      </c>
      <c r="F23" s="96" t="s">
        <v>63</v>
      </c>
      <c r="G23" s="95" t="s">
        <v>62</v>
      </c>
      <c r="H23" s="96" t="s">
        <v>63</v>
      </c>
      <c r="I23" s="95" t="s">
        <v>62</v>
      </c>
      <c r="J23" s="96" t="s">
        <v>63</v>
      </c>
      <c r="K23" s="95" t="s">
        <v>62</v>
      </c>
      <c r="L23" s="96" t="s">
        <v>63</v>
      </c>
      <c r="M23" s="95" t="s">
        <v>62</v>
      </c>
      <c r="N23" s="96" t="s">
        <v>63</v>
      </c>
      <c r="O23" s="130" t="s">
        <v>64</v>
      </c>
    </row>
    <row r="24" spans="1:15">
      <c r="A24" s="193"/>
      <c r="B24" s="202"/>
      <c r="C24" s="190"/>
      <c r="D24" s="188" cm="1">
        <f t="array" ref="D24">IFERROR(INDEX('Salary Rates'!F:F,MATCH(($B$24),'Salary Rates'!$A:$A,0),FALSE)&amp;"",0)*C24</f>
        <v>0</v>
      </c>
      <c r="E24" s="190"/>
      <c r="F24" s="188" cm="1">
        <f t="array" ref="F24">IFERROR(INDEX('Salary Rates'!H:H,MATCH(($B$24),'Salary Rates'!$A:$A,0),FALSE)&amp;"",0)*E24</f>
        <v>0</v>
      </c>
      <c r="G24" s="190"/>
      <c r="H24" s="188" cm="1">
        <f t="array" ref="H24">IFERROR(INDEX('Salary Rates'!I:I,MATCH(($B$24),'Salary Rates'!$A:$A,0),FALSE)&amp;"",0)*G24</f>
        <v>0</v>
      </c>
      <c r="I24" s="190"/>
      <c r="J24" s="188" cm="1">
        <f t="array" ref="J24">IFERROR(INDEX('Salary Rates'!J:J,MATCH(($B$24),'Salary Rates'!$A:$A,0),FALSE)&amp;"",0)*I24</f>
        <v>0</v>
      </c>
      <c r="K24" s="190"/>
      <c r="L24" s="188" cm="1">
        <f t="array" ref="L24">IFERROR(INDEX('Salary Rates'!K:K,MATCH(($B$24),'Salary Rates'!$A:$A,0),FALSE)&amp;"",0)*K24</f>
        <v>0</v>
      </c>
      <c r="M24" s="190"/>
      <c r="N24" s="188" cm="1">
        <f t="array" ref="N24">IFERROR(INDEX('Salary Rates'!L:L,MATCH(($B$24),'Salary Rates'!$A:$A,0),FALSE)&amp;"",0)*M24</f>
        <v>0</v>
      </c>
      <c r="O24" s="132"/>
    </row>
    <row r="25" spans="1:15">
      <c r="A25" s="194"/>
      <c r="B25" s="202"/>
      <c r="C25" s="190"/>
      <c r="D25" s="188" cm="1">
        <f t="array" ref="D25">IFERROR(INDEX('Salary Rates'!F:F,MATCH(($B$24),'Salary Rates'!$A:$A,0),FALSE)&amp;"",0)*C25</f>
        <v>0</v>
      </c>
      <c r="E25" s="191"/>
      <c r="F25" s="188" cm="1">
        <f t="array" ref="F25">IFERROR(INDEX('Salary Rates'!H:H,MATCH(($B$24),'Salary Rates'!$A:$A,0),FALSE)&amp;"",0)*E25</f>
        <v>0</v>
      </c>
      <c r="G25" s="191"/>
      <c r="H25" s="188" cm="1">
        <f t="array" ref="H25">IFERROR(INDEX('Salary Rates'!I:I,MATCH(($B$24),'Salary Rates'!$A:$A,0),FALSE)&amp;"",0)*G25</f>
        <v>0</v>
      </c>
      <c r="I25" s="191"/>
      <c r="J25" s="188" cm="1">
        <f t="array" ref="J25">IFERROR(INDEX('Salary Rates'!J:J,MATCH(($B$24),'Salary Rates'!$A:$A,0),FALSE)&amp;"",0)*I25</f>
        <v>0</v>
      </c>
      <c r="K25" s="191"/>
      <c r="L25" s="188" cm="1">
        <f t="array" ref="L25">IFERROR(INDEX('Salary Rates'!K:K,MATCH(($B$24),'Salary Rates'!$A:$A,0),FALSE)&amp;"",0)*K25</f>
        <v>0</v>
      </c>
      <c r="M25" s="191"/>
      <c r="N25" s="188" cm="1">
        <f t="array" ref="N25">IFERROR(INDEX('Salary Rates'!L:L,MATCH(($B$24),'Salary Rates'!$A:$A,0),FALSE)&amp;"",0)*M25</f>
        <v>0</v>
      </c>
      <c r="O25" s="132"/>
    </row>
    <row r="26" spans="1:15">
      <c r="A26" s="192"/>
      <c r="B26" s="202"/>
      <c r="C26" s="190"/>
      <c r="D26" s="188" cm="1">
        <f t="array" ref="D26">IFERROR(INDEX('Salary Rates'!F:F,MATCH(($B$24),'Salary Rates'!$A:$A,0),FALSE)&amp;"",0)*C26</f>
        <v>0</v>
      </c>
      <c r="E26" s="191"/>
      <c r="F26" s="188" cm="1">
        <f t="array" ref="F26">IFERROR(INDEX('Salary Rates'!H:H,MATCH(($B$24),'Salary Rates'!$A:$A,0),FALSE)&amp;"",0)*E26</f>
        <v>0</v>
      </c>
      <c r="G26" s="191"/>
      <c r="H26" s="188" cm="1">
        <f t="array" ref="H26">IFERROR(INDEX('Salary Rates'!I:I,MATCH(($B$24),'Salary Rates'!$A:$A,0),FALSE)&amp;"",0)*G26</f>
        <v>0</v>
      </c>
      <c r="I26" s="191"/>
      <c r="J26" s="188" cm="1">
        <f t="array" ref="J26">IFERROR(INDEX('Salary Rates'!J:J,MATCH(($B$24),'Salary Rates'!$A:$A,0),FALSE)&amp;"",0)*I26</f>
        <v>0</v>
      </c>
      <c r="K26" s="191"/>
      <c r="L26" s="188" cm="1">
        <f t="array" ref="L26">IFERROR(INDEX('Salary Rates'!K:K,MATCH(($B$24),'Salary Rates'!$A:$A,0),FALSE)&amp;"",0)*K26</f>
        <v>0</v>
      </c>
      <c r="M26" s="191"/>
      <c r="N26" s="188" cm="1">
        <f t="array" ref="N26">IFERROR(INDEX('Salary Rates'!L:L,MATCH(($B$24),'Salary Rates'!$A:$A,0),FALSE)&amp;"",0)*M26</f>
        <v>0</v>
      </c>
      <c r="O26" s="132"/>
    </row>
    <row r="27" spans="1:15">
      <c r="A27" s="192"/>
      <c r="B27" s="202"/>
      <c r="C27" s="190"/>
      <c r="D27" s="188" cm="1">
        <f t="array" ref="D27">IFERROR(INDEX('Salary Rates'!F:F,MATCH(($B$24),'Salary Rates'!$A:$A,0),FALSE)&amp;"",0)*C27</f>
        <v>0</v>
      </c>
      <c r="E27" s="191"/>
      <c r="F27" s="188" cm="1">
        <f t="array" ref="F27">IFERROR(INDEX('Salary Rates'!H:H,MATCH(($B$24),'Salary Rates'!$A:$A,0),FALSE)&amp;"",0)*E27</f>
        <v>0</v>
      </c>
      <c r="G27" s="191"/>
      <c r="H27" s="188" cm="1">
        <f t="array" ref="H27">IFERROR(INDEX('Salary Rates'!I:I,MATCH(($B$24),'Salary Rates'!$A:$A,0),FALSE)&amp;"",0)*G27</f>
        <v>0</v>
      </c>
      <c r="I27" s="191"/>
      <c r="J27" s="188" cm="1">
        <f t="array" ref="J27">IFERROR(INDEX('Salary Rates'!J:J,MATCH(($B$24),'Salary Rates'!$A:$A,0),FALSE)&amp;"",0)*I27</f>
        <v>0</v>
      </c>
      <c r="K27" s="191"/>
      <c r="L27" s="188" cm="1">
        <f t="array" ref="L27">IFERROR(INDEX('Salary Rates'!K:K,MATCH(($B$24),'Salary Rates'!$A:$A,0),FALSE)&amp;"",0)*K27</f>
        <v>0</v>
      </c>
      <c r="M27" s="191"/>
      <c r="N27" s="188" cm="1">
        <f t="array" ref="N27">IFERROR(INDEX('Salary Rates'!L:L,MATCH(($B$24),'Salary Rates'!$A:$A,0),FALSE)&amp;"",0)*M27</f>
        <v>0</v>
      </c>
      <c r="O27" s="132"/>
    </row>
    <row r="28" spans="1:15" ht="15" thickBot="1">
      <c r="A28" s="13"/>
      <c r="B28" s="12"/>
      <c r="C28" s="127"/>
      <c r="D28" s="139">
        <f>SUM(D24:D27)</f>
        <v>0</v>
      </c>
      <c r="E28" s="140"/>
      <c r="F28" s="139">
        <f>SUM(F24:F27)</f>
        <v>0</v>
      </c>
      <c r="G28" s="140"/>
      <c r="H28" s="139">
        <f>SUM(H24:H27)</f>
        <v>0</v>
      </c>
      <c r="I28" s="140"/>
      <c r="J28" s="139">
        <f>SUM(J24:J27)</f>
        <v>0</v>
      </c>
      <c r="K28" s="140"/>
      <c r="L28" s="139">
        <f>SUM(L24:L27)</f>
        <v>0</v>
      </c>
      <c r="M28" s="140"/>
      <c r="N28" s="139">
        <f>SUM(N24:N27)</f>
        <v>0</v>
      </c>
      <c r="O28" s="131"/>
    </row>
    <row r="29" spans="1:15">
      <c r="A29" s="14"/>
      <c r="C29" s="54"/>
      <c r="E29" s="54"/>
      <c r="G29" s="54"/>
      <c r="I29" s="54"/>
      <c r="K29" s="54"/>
      <c r="M29" s="54"/>
    </row>
    <row r="30" spans="1:15" ht="15" thickBot="1"/>
    <row r="31" spans="1:15">
      <c r="A31" s="91" t="s">
        <v>67</v>
      </c>
      <c r="B31" s="78"/>
      <c r="C31" s="236">
        <v>2024</v>
      </c>
      <c r="D31" s="235"/>
      <c r="E31" s="234">
        <v>2025</v>
      </c>
      <c r="F31" s="235"/>
      <c r="G31" s="234">
        <v>2026</v>
      </c>
      <c r="H31" s="235"/>
      <c r="I31" s="234">
        <v>2027</v>
      </c>
      <c r="J31" s="235"/>
      <c r="K31" s="234">
        <v>2028</v>
      </c>
      <c r="L31" s="235"/>
      <c r="M31" s="234">
        <v>2029</v>
      </c>
      <c r="N31" s="235"/>
      <c r="O31" s="129"/>
    </row>
    <row r="32" spans="1:15">
      <c r="A32" s="97" t="s">
        <v>60</v>
      </c>
      <c r="B32" s="95" t="s">
        <v>61</v>
      </c>
      <c r="C32" s="116" t="s">
        <v>62</v>
      </c>
      <c r="D32" s="96" t="s">
        <v>63</v>
      </c>
      <c r="E32" s="95" t="s">
        <v>62</v>
      </c>
      <c r="F32" s="96" t="s">
        <v>63</v>
      </c>
      <c r="G32" s="95" t="s">
        <v>62</v>
      </c>
      <c r="H32" s="96" t="s">
        <v>63</v>
      </c>
      <c r="I32" s="95" t="s">
        <v>62</v>
      </c>
      <c r="J32" s="96" t="s">
        <v>63</v>
      </c>
      <c r="K32" s="95" t="s">
        <v>62</v>
      </c>
      <c r="L32" s="96" t="s">
        <v>63</v>
      </c>
      <c r="M32" s="95" t="s">
        <v>62</v>
      </c>
      <c r="N32" s="96" t="s">
        <v>63</v>
      </c>
      <c r="O32" s="130" t="s">
        <v>64</v>
      </c>
    </row>
    <row r="33" spans="1:15">
      <c r="A33" s="192"/>
      <c r="B33" s="189"/>
      <c r="C33" s="190"/>
      <c r="D33" s="188" cm="1">
        <f t="array" ref="D33">IFERROR(INDEX('Salary Rates'!F:F,MATCH((B33),'Salary Rates'!A:A,0),FALSE)&amp;"",0)*C33</f>
        <v>0</v>
      </c>
      <c r="E33" s="191"/>
      <c r="F33" s="188" cm="1">
        <f t="array" ref="F33">IFERROR(INDEX('Salary Rates'!H:H,MATCH(($B$11),'Salary Rates'!$A:$A,0),FALSE)&amp;"",0)*E33</f>
        <v>0</v>
      </c>
      <c r="G33" s="191"/>
      <c r="H33" s="188" cm="1">
        <f t="array" ref="H33">IFERROR(INDEX('Salary Rates'!I:I,MATCH(($B$11),'Salary Rates'!$A:$A,0),FALSE)&amp;"",0)*G33</f>
        <v>0</v>
      </c>
      <c r="I33" s="191"/>
      <c r="J33" s="188" cm="1">
        <f t="array" ref="J33">IFERROR(INDEX('Salary Rates'!J:J,MATCH(($B$11),'Salary Rates'!$A:$A,0),FALSE)&amp;"",0)*I33</f>
        <v>0</v>
      </c>
      <c r="K33" s="191"/>
      <c r="L33" s="188" cm="1">
        <f t="array" ref="L33">IFERROR(INDEX('Salary Rates'!K:K,MATCH(($B$11),'Salary Rates'!$A:$A,0),FALSE)&amp;"",0)*K33</f>
        <v>0</v>
      </c>
      <c r="M33" s="191"/>
      <c r="N33" s="188" cm="1">
        <f t="array" ref="N33">IFERROR(INDEX('Salary Rates'!L:L,MATCH(($B$11),'Salary Rates'!$A:$A,0),FALSE)&amp;"",0)*M33</f>
        <v>0</v>
      </c>
      <c r="O33" s="132"/>
    </row>
    <row r="34" spans="1:15">
      <c r="A34" s="192">
        <v>2</v>
      </c>
      <c r="B34" s="189"/>
      <c r="C34" s="190"/>
      <c r="D34" s="188" cm="1">
        <f t="array" ref="D34">IFERROR(INDEX('Salary Rates'!F:F,MATCH((B34),'Salary Rates'!A:A,0),FALSE)&amp;"",0)*C34</f>
        <v>0</v>
      </c>
      <c r="E34" s="191"/>
      <c r="F34" s="188" cm="1">
        <f t="array" ref="F34">IFERROR(INDEX('Salary Rates'!H:H,MATCH(($B$11),'Salary Rates'!$A:$A,0),FALSE)&amp;"",0)*E34</f>
        <v>0</v>
      </c>
      <c r="G34" s="191"/>
      <c r="H34" s="188" cm="1">
        <f t="array" ref="H34">IFERROR(INDEX('Salary Rates'!I:I,MATCH(($B$11),'Salary Rates'!$A:$A,0),FALSE)&amp;"",0)*G34</f>
        <v>0</v>
      </c>
      <c r="I34" s="191"/>
      <c r="J34" s="188" cm="1">
        <f t="array" ref="J34">IFERROR(INDEX('Salary Rates'!J:J,MATCH(($B$11),'Salary Rates'!$A:$A,0),FALSE)&amp;"",0)*I34</f>
        <v>0</v>
      </c>
      <c r="K34" s="191"/>
      <c r="L34" s="188" cm="1">
        <f t="array" ref="L34">IFERROR(INDEX('Salary Rates'!K:K,MATCH(($B$11),'Salary Rates'!$A:$A,0),FALSE)&amp;"",0)*K34</f>
        <v>0</v>
      </c>
      <c r="M34" s="191"/>
      <c r="N34" s="188" cm="1">
        <f t="array" ref="N34">IFERROR(INDEX('Salary Rates'!L:L,MATCH(($B$11),'Salary Rates'!$A:$A,0),FALSE)&amp;"",0)*M34</f>
        <v>0</v>
      </c>
      <c r="O34" s="132"/>
    </row>
    <row r="35" spans="1:15">
      <c r="A35" s="192">
        <v>3</v>
      </c>
      <c r="B35" s="189"/>
      <c r="C35" s="190"/>
      <c r="D35" s="188" cm="1">
        <f t="array" ref="D35">IFERROR(INDEX('Salary Rates'!F:F,MATCH((B35),'Salary Rates'!A:A,0),FALSE)&amp;"",0)*C35</f>
        <v>0</v>
      </c>
      <c r="E35" s="190"/>
      <c r="F35" s="188" cm="1">
        <f t="array" ref="F35">IFERROR(INDEX('Salary Rates'!H:H,MATCH(($B$11),'Salary Rates'!$A:$A,0),FALSE)&amp;"",0)*E35</f>
        <v>0</v>
      </c>
      <c r="G35" s="191"/>
      <c r="H35" s="188" cm="1">
        <f t="array" ref="H35">IFERROR(INDEX('Salary Rates'!I:I,MATCH(($B$11),'Salary Rates'!$A:$A,0),FALSE)&amp;"",0)*G35</f>
        <v>0</v>
      </c>
      <c r="I35" s="191"/>
      <c r="J35" s="188" cm="1">
        <f t="array" ref="J35">IFERROR(INDEX('Salary Rates'!J:J,MATCH(($B$11),'Salary Rates'!$A:$A,0),FALSE)&amp;"",0)*I35</f>
        <v>0</v>
      </c>
      <c r="K35" s="190"/>
      <c r="L35" s="188" cm="1">
        <f t="array" ref="L35">IFERROR(INDEX('Salary Rates'!K:K,MATCH(($B$11),'Salary Rates'!$A:$A,0),FALSE)&amp;"",0)*K35</f>
        <v>0</v>
      </c>
      <c r="M35" s="190"/>
      <c r="N35" s="188" cm="1">
        <f t="array" ref="N35">IFERROR(INDEX('Salary Rates'!L:L,MATCH(($B$11),'Salary Rates'!$A:$A,0),FALSE)&amp;"",0)*M35</f>
        <v>0</v>
      </c>
      <c r="O35" s="132"/>
    </row>
    <row r="36" spans="1:15">
      <c r="A36" s="192">
        <v>4</v>
      </c>
      <c r="B36" s="189"/>
      <c r="C36" s="190"/>
      <c r="D36" s="188" cm="1">
        <f t="array" ref="D36">IFERROR(INDEX('Salary Rates'!F:F,MATCH((B36),'Salary Rates'!A:A,0),FALSE)&amp;"",0)*C36</f>
        <v>0</v>
      </c>
      <c r="E36" s="191"/>
      <c r="F36" s="188" cm="1">
        <f t="array" ref="F36">IFERROR(INDEX('Salary Rates'!H:H,MATCH(($B$11),'Salary Rates'!$A:$A,0),FALSE)&amp;"",0)*E36</f>
        <v>0</v>
      </c>
      <c r="G36" s="191"/>
      <c r="H36" s="188" cm="1">
        <f t="array" ref="H36">IFERROR(INDEX('Salary Rates'!I:I,MATCH(($B$11),'Salary Rates'!$A:$A,0),FALSE)&amp;"",0)*G36</f>
        <v>0</v>
      </c>
      <c r="I36" s="191"/>
      <c r="J36" s="188" cm="1">
        <f t="array" ref="J36">IFERROR(INDEX('Salary Rates'!J:J,MATCH(($B$11),'Salary Rates'!$A:$A,0),FALSE)&amp;"",0)*I36</f>
        <v>0</v>
      </c>
      <c r="K36" s="191"/>
      <c r="L36" s="188" cm="1">
        <f t="array" ref="L36">IFERROR(INDEX('Salary Rates'!K:K,MATCH(($B$11),'Salary Rates'!$A:$A,0),FALSE)&amp;"",0)*K36</f>
        <v>0</v>
      </c>
      <c r="M36" s="191"/>
      <c r="N36" s="188" cm="1">
        <f t="array" ref="N36">IFERROR(INDEX('Salary Rates'!L:L,MATCH(($B$11),'Salary Rates'!$A:$A,0),FALSE)&amp;"",0)*M36</f>
        <v>0</v>
      </c>
      <c r="O36" s="132"/>
    </row>
    <row r="37" spans="1:15">
      <c r="A37" s="192">
        <v>5</v>
      </c>
      <c r="B37" s="189"/>
      <c r="C37" s="190"/>
      <c r="D37" s="188" cm="1">
        <f t="array" ref="D37">IFERROR(INDEX('Salary Rates'!F:F,MATCH((B37),'Salary Rates'!A:A,0),FALSE)&amp;"",0)*C37</f>
        <v>0</v>
      </c>
      <c r="E37" s="191"/>
      <c r="F37" s="188" cm="1">
        <f t="array" ref="F37">IFERROR(INDEX('Salary Rates'!H:H,MATCH(($B$11),'Salary Rates'!$A:$A,0),FALSE)&amp;"",0)*E37</f>
        <v>0</v>
      </c>
      <c r="G37" s="191"/>
      <c r="H37" s="188" cm="1">
        <f t="array" ref="H37">IFERROR(INDEX('Salary Rates'!I:I,MATCH(($B$11),'Salary Rates'!$A:$A,0),FALSE)&amp;"",0)*G37</f>
        <v>0</v>
      </c>
      <c r="I37" s="191"/>
      <c r="J37" s="188" cm="1">
        <f t="array" ref="J37">IFERROR(INDEX('Salary Rates'!J:J,MATCH(($B$11),'Salary Rates'!$A:$A,0),FALSE)&amp;"",0)*I37</f>
        <v>0</v>
      </c>
      <c r="K37" s="191"/>
      <c r="L37" s="188" cm="1">
        <f t="array" ref="L37">IFERROR(INDEX('Salary Rates'!K:K,MATCH(($B$11),'Salary Rates'!$A:$A,0),FALSE)&amp;"",0)*K37</f>
        <v>0</v>
      </c>
      <c r="M37" s="191"/>
      <c r="N37" s="188" cm="1">
        <f t="array" ref="N37">IFERROR(INDEX('Salary Rates'!L:L,MATCH(($B$11),'Salary Rates'!$A:$A,0),FALSE)&amp;"",0)*M37</f>
        <v>0</v>
      </c>
      <c r="O37" s="132"/>
    </row>
    <row r="38" spans="1:15">
      <c r="A38" s="192">
        <v>6</v>
      </c>
      <c r="B38" s="189"/>
      <c r="C38" s="190"/>
      <c r="D38" s="188" cm="1">
        <f t="array" ref="D38">IFERROR(INDEX('Salary Rates'!F:F,MATCH((B38),'Salary Rates'!A:A,0),FALSE)&amp;"",0)*C38</f>
        <v>0</v>
      </c>
      <c r="E38" s="191"/>
      <c r="F38" s="188" cm="1">
        <f t="array" ref="F38">IFERROR(INDEX('Salary Rates'!H:H,MATCH(($B$11),'Salary Rates'!$A:$A,0),FALSE)&amp;"",0)*E38</f>
        <v>0</v>
      </c>
      <c r="G38" s="191"/>
      <c r="H38" s="188" cm="1">
        <f t="array" ref="H38">IFERROR(INDEX('Salary Rates'!I:I,MATCH(($B$11),'Salary Rates'!$A:$A,0),FALSE)&amp;"",0)*G38</f>
        <v>0</v>
      </c>
      <c r="I38" s="191"/>
      <c r="J38" s="188" cm="1">
        <f t="array" ref="J38">IFERROR(INDEX('Salary Rates'!J:J,MATCH(($B$11),'Salary Rates'!$A:$A,0),FALSE)&amp;"",0)*I38</f>
        <v>0</v>
      </c>
      <c r="K38" s="191"/>
      <c r="L38" s="188" cm="1">
        <f t="array" ref="L38">IFERROR(INDEX('Salary Rates'!K:K,MATCH(($B$11),'Salary Rates'!$A:$A,0),FALSE)&amp;"",0)*K38</f>
        <v>0</v>
      </c>
      <c r="M38" s="191"/>
      <c r="N38" s="188" cm="1">
        <f t="array" ref="N38">IFERROR(INDEX('Salary Rates'!L:L,MATCH(($B$11),'Salary Rates'!$A:$A,0),FALSE)&amp;"",0)*M38</f>
        <v>0</v>
      </c>
      <c r="O38" s="132"/>
    </row>
    <row r="39" spans="1:15">
      <c r="A39" s="192">
        <v>7</v>
      </c>
      <c r="B39" s="189"/>
      <c r="C39" s="190"/>
      <c r="D39" s="188" cm="1">
        <f t="array" ref="D39">IFERROR(INDEX('Salary Rates'!F:F,MATCH((B39),'Salary Rates'!A:A,0),FALSE)&amp;"",0)*C39</f>
        <v>0</v>
      </c>
      <c r="E39" s="191"/>
      <c r="F39" s="188" cm="1">
        <f t="array" ref="F39">IFERROR(INDEX('Salary Rates'!H:H,MATCH(($B$11),'Salary Rates'!$A:$A,0),FALSE)&amp;"",0)*E39</f>
        <v>0</v>
      </c>
      <c r="G39" s="191"/>
      <c r="H39" s="188" cm="1">
        <f t="array" ref="H39">IFERROR(INDEX('Salary Rates'!I:I,MATCH(($B$11),'Salary Rates'!$A:$A,0),FALSE)&amp;"",0)*G39</f>
        <v>0</v>
      </c>
      <c r="I39" s="191"/>
      <c r="J39" s="188" cm="1">
        <f t="array" ref="J39">IFERROR(INDEX('Salary Rates'!J:J,MATCH(($B$11),'Salary Rates'!$A:$A,0),FALSE)&amp;"",0)*I39</f>
        <v>0</v>
      </c>
      <c r="K39" s="191"/>
      <c r="L39" s="188" cm="1">
        <f t="array" ref="L39">IFERROR(INDEX('Salary Rates'!K:K,MATCH(($B$11),'Salary Rates'!$A:$A,0),FALSE)&amp;"",0)*K39</f>
        <v>0</v>
      </c>
      <c r="M39" s="191"/>
      <c r="N39" s="188" cm="1">
        <f t="array" ref="N39">IFERROR(INDEX('Salary Rates'!L:L,MATCH(($B$11),'Salary Rates'!$A:$A,0),FALSE)&amp;"",0)*M39</f>
        <v>0</v>
      </c>
      <c r="O39" s="132"/>
    </row>
    <row r="40" spans="1:15">
      <c r="A40" s="192">
        <v>8</v>
      </c>
      <c r="B40" s="189"/>
      <c r="C40" s="190"/>
      <c r="D40" s="188" cm="1">
        <f t="array" ref="D40">IFERROR(INDEX('Salary Rates'!F:F,MATCH((B40),'Salary Rates'!A:A,0),FALSE)&amp;"",0)*C40</f>
        <v>0</v>
      </c>
      <c r="E40" s="191"/>
      <c r="F40" s="188" cm="1">
        <f t="array" ref="F40">IFERROR(INDEX('Salary Rates'!H:H,MATCH(($B$11),'Salary Rates'!$A:$A,0),FALSE)&amp;"",0)*E40</f>
        <v>0</v>
      </c>
      <c r="G40" s="191"/>
      <c r="H40" s="188" cm="1">
        <f t="array" ref="H40">IFERROR(INDEX('Salary Rates'!I:I,MATCH(($B$11),'Salary Rates'!$A:$A,0),FALSE)&amp;"",0)*G40</f>
        <v>0</v>
      </c>
      <c r="I40" s="191"/>
      <c r="J40" s="188" cm="1">
        <f t="array" ref="J40">IFERROR(INDEX('Salary Rates'!J:J,MATCH(($B$11),'Salary Rates'!$A:$A,0),FALSE)&amp;"",0)*I40</f>
        <v>0</v>
      </c>
      <c r="K40" s="191"/>
      <c r="L40" s="188" cm="1">
        <f t="array" ref="L40">IFERROR(INDEX('Salary Rates'!K:K,MATCH(($B$11),'Salary Rates'!$A:$A,0),FALSE)&amp;"",0)*K40</f>
        <v>0</v>
      </c>
      <c r="M40" s="191"/>
      <c r="N40" s="188" cm="1">
        <f t="array" ref="N40">IFERROR(INDEX('Salary Rates'!L:L,MATCH(($B$11),'Salary Rates'!$A:$A,0),FALSE)&amp;"",0)*M40</f>
        <v>0</v>
      </c>
      <c r="O40" s="132"/>
    </row>
    <row r="41" spans="1:15">
      <c r="A41" s="192">
        <v>9</v>
      </c>
      <c r="B41" s="189"/>
      <c r="C41" s="190"/>
      <c r="D41" s="188" cm="1">
        <f t="array" ref="D41">IFERROR(INDEX('Salary Rates'!F:F,MATCH((B41),'Salary Rates'!A:A,0),FALSE)&amp;"",0)*C41</f>
        <v>0</v>
      </c>
      <c r="E41" s="191"/>
      <c r="F41" s="188" cm="1">
        <f t="array" ref="F41">IFERROR(INDEX('Salary Rates'!H:H,MATCH(($B$11),'Salary Rates'!$A:$A,0),FALSE)&amp;"",0)*E41</f>
        <v>0</v>
      </c>
      <c r="G41" s="191"/>
      <c r="H41" s="188" cm="1">
        <f t="array" ref="H41">IFERROR(INDEX('Salary Rates'!I:I,MATCH(($B$11),'Salary Rates'!$A:$A,0),FALSE)&amp;"",0)*G41</f>
        <v>0</v>
      </c>
      <c r="I41" s="191"/>
      <c r="J41" s="188" cm="1">
        <f t="array" ref="J41">IFERROR(INDEX('Salary Rates'!J:J,MATCH(($B$11),'Salary Rates'!$A:$A,0),FALSE)&amp;"",0)*I41</f>
        <v>0</v>
      </c>
      <c r="K41" s="191"/>
      <c r="L41" s="188" cm="1">
        <f t="array" ref="L41">IFERROR(INDEX('Salary Rates'!K:K,MATCH(($B$11),'Salary Rates'!$A:$A,0),FALSE)&amp;"",0)*K41</f>
        <v>0</v>
      </c>
      <c r="M41" s="191"/>
      <c r="N41" s="188" cm="1">
        <f t="array" ref="N41">IFERROR(INDEX('Salary Rates'!L:L,MATCH(($B$11),'Salary Rates'!$A:$A,0),FALSE)&amp;"",0)*M41</f>
        <v>0</v>
      </c>
      <c r="O41" s="132"/>
    </row>
    <row r="42" spans="1:15">
      <c r="A42" s="192">
        <v>10</v>
      </c>
      <c r="B42" s="189"/>
      <c r="C42" s="190"/>
      <c r="D42" s="188" cm="1">
        <f t="array" ref="D42">IFERROR(INDEX('Salary Rates'!F:F,MATCH((B42),'Salary Rates'!A:A,0),FALSE)&amp;"",0)*C42</f>
        <v>0</v>
      </c>
      <c r="E42" s="191"/>
      <c r="F42" s="188" cm="1">
        <f t="array" ref="F42">IFERROR(INDEX('Salary Rates'!H:H,MATCH(($B$11),'Salary Rates'!$A:$A,0),FALSE)&amp;"",0)*E42</f>
        <v>0</v>
      </c>
      <c r="G42" s="191"/>
      <c r="H42" s="188" cm="1">
        <f t="array" ref="H42">IFERROR(INDEX('Salary Rates'!I:I,MATCH(($B$11),'Salary Rates'!$A:$A,0),FALSE)&amp;"",0)*G42</f>
        <v>0</v>
      </c>
      <c r="I42" s="191"/>
      <c r="J42" s="188" cm="1">
        <f t="array" ref="J42">IFERROR(INDEX('Salary Rates'!J:J,MATCH(($B$11),'Salary Rates'!$A:$A,0),FALSE)&amp;"",0)*I42</f>
        <v>0</v>
      </c>
      <c r="K42" s="191"/>
      <c r="L42" s="188" cm="1">
        <f t="array" ref="L42">IFERROR(INDEX('Salary Rates'!K:K,MATCH(($B$11),'Salary Rates'!$A:$A,0),FALSE)&amp;"",0)*K42</f>
        <v>0</v>
      </c>
      <c r="M42" s="191"/>
      <c r="N42" s="188" cm="1">
        <f t="array" ref="N42">IFERROR(INDEX('Salary Rates'!L:L,MATCH(($B$11),'Salary Rates'!$A:$A,0),FALSE)&amp;"",0)*M42</f>
        <v>0</v>
      </c>
      <c r="O42" s="132"/>
    </row>
    <row r="43" spans="1:15" ht="15" collapsed="1" thickBot="1">
      <c r="A43" s="13"/>
      <c r="B43" s="12"/>
      <c r="C43" s="127"/>
      <c r="D43" s="139">
        <f>SUM(D33:D42)</f>
        <v>0</v>
      </c>
      <c r="E43" s="140"/>
      <c r="F43" s="139">
        <f>SUM(F33:F42)</f>
        <v>0</v>
      </c>
      <c r="G43" s="140"/>
      <c r="H43" s="139">
        <f>SUM(H33:H42)</f>
        <v>0</v>
      </c>
      <c r="I43" s="140"/>
      <c r="J43" s="139">
        <f>SUM(J33:J42)</f>
        <v>0</v>
      </c>
      <c r="K43" s="140"/>
      <c r="L43" s="139">
        <f>SUM(L33:L42)</f>
        <v>0</v>
      </c>
      <c r="M43" s="140"/>
      <c r="N43" s="139">
        <f>SUM(N33:N42)</f>
        <v>0</v>
      </c>
      <c r="O43" s="131"/>
    </row>
    <row r="44" spans="1:15">
      <c r="A44" s="91"/>
      <c r="B44" s="78"/>
      <c r="C44" s="91"/>
      <c r="D44" s="79"/>
      <c r="E44" s="78"/>
      <c r="F44" s="79"/>
      <c r="G44" s="78"/>
      <c r="H44" s="79"/>
      <c r="I44" s="78"/>
      <c r="J44" s="79"/>
      <c r="K44" s="78"/>
      <c r="L44" s="79"/>
      <c r="M44" s="78"/>
      <c r="N44" s="79"/>
      <c r="O44" s="129"/>
    </row>
    <row r="45" spans="1:15">
      <c r="A45" s="97" t="s">
        <v>66</v>
      </c>
      <c r="B45" s="95"/>
      <c r="C45" s="116" t="s">
        <v>62</v>
      </c>
      <c r="D45" s="96" t="s">
        <v>63</v>
      </c>
      <c r="E45" s="95" t="s">
        <v>62</v>
      </c>
      <c r="F45" s="96" t="s">
        <v>63</v>
      </c>
      <c r="G45" s="95" t="s">
        <v>62</v>
      </c>
      <c r="H45" s="96" t="s">
        <v>63</v>
      </c>
      <c r="I45" s="95" t="s">
        <v>62</v>
      </c>
      <c r="J45" s="96" t="s">
        <v>63</v>
      </c>
      <c r="K45" s="95" t="s">
        <v>62</v>
      </c>
      <c r="L45" s="96" t="s">
        <v>63</v>
      </c>
      <c r="M45" s="95" t="s">
        <v>62</v>
      </c>
      <c r="N45" s="96" t="s">
        <v>63</v>
      </c>
      <c r="O45" s="130" t="s">
        <v>64</v>
      </c>
    </row>
    <row r="46" spans="1:15">
      <c r="A46" s="192"/>
      <c r="B46" s="202"/>
      <c r="C46" s="126"/>
      <c r="D46" s="188" cm="1">
        <f t="array" ref="D46">IFERROR(INDEX('Salary Rates'!F:F,MATCH(($B$24),'Salary Rates'!$A:$A,0),FALSE)&amp;"",0)*C46</f>
        <v>0</v>
      </c>
      <c r="E46" s="126"/>
      <c r="F46" s="188" cm="1">
        <f t="array" ref="F46">IFERROR(INDEX('Salary Rates'!H:H,MATCH(($B$24),'Salary Rates'!$A:$A,0),FALSE)&amp;"",0)*E46</f>
        <v>0</v>
      </c>
      <c r="G46" s="126"/>
      <c r="H46" s="188" cm="1">
        <f t="array" ref="H46">IFERROR(INDEX('Salary Rates'!I:I,MATCH(($B$24),'Salary Rates'!$A:$A,0),FALSE)&amp;"",0)*G46</f>
        <v>0</v>
      </c>
      <c r="I46" s="126"/>
      <c r="J46" s="188" cm="1">
        <f t="array" ref="J46">IFERROR(INDEX('Salary Rates'!J:J,MATCH(($B$24),'Salary Rates'!$A:$A,0),FALSE)&amp;"",0)*I46</f>
        <v>0</v>
      </c>
      <c r="K46" s="126"/>
      <c r="L46" s="188" cm="1">
        <f t="array" ref="L46">IFERROR(INDEX('Salary Rates'!K:K,MATCH(($B$24),'Salary Rates'!$A:$A,0),FALSE)&amp;"",0)*K46</f>
        <v>0</v>
      </c>
      <c r="M46" s="126"/>
      <c r="N46" s="188" cm="1">
        <f t="array" ref="N46">IFERROR(INDEX('Salary Rates'!L:L,MATCH(($B$24),'Salary Rates'!$A:$A,0),FALSE)&amp;"",0)*M46</f>
        <v>0</v>
      </c>
      <c r="O46" s="133"/>
    </row>
    <row r="47" spans="1:15">
      <c r="A47" s="192">
        <v>2</v>
      </c>
      <c r="B47" s="202"/>
      <c r="C47" s="126"/>
      <c r="D47" s="188" cm="1">
        <f t="array" ref="D47">IFERROR(INDEX('Salary Rates'!F:F,MATCH(($B$24),'Salary Rates'!$A:$A,0),FALSE)&amp;"",0)*C47</f>
        <v>0</v>
      </c>
      <c r="E47" s="52"/>
      <c r="F47" s="188" cm="1">
        <f t="array" ref="F47">IFERROR(INDEX('Salary Rates'!H:H,MATCH(($B$24),'Salary Rates'!$A:$A,0),FALSE)&amp;"",0)*E47</f>
        <v>0</v>
      </c>
      <c r="G47" s="52"/>
      <c r="H47" s="188" cm="1">
        <f t="array" ref="H47">IFERROR(INDEX('Salary Rates'!I:I,MATCH(($B$24),'Salary Rates'!$A:$A,0),FALSE)&amp;"",0)*G47</f>
        <v>0</v>
      </c>
      <c r="I47" s="52"/>
      <c r="J47" s="188" cm="1">
        <f t="array" ref="J47">IFERROR(INDEX('Salary Rates'!J:J,MATCH(($B$24),'Salary Rates'!$A:$A,0),FALSE)&amp;"",0)*I47</f>
        <v>0</v>
      </c>
      <c r="K47" s="52"/>
      <c r="L47" s="188" cm="1">
        <f t="array" ref="L47">IFERROR(INDEX('Salary Rates'!K:K,MATCH(($B$24),'Salary Rates'!$A:$A,0),FALSE)&amp;"",0)*K47</f>
        <v>0</v>
      </c>
      <c r="M47" s="52"/>
      <c r="N47" s="188" cm="1">
        <f t="array" ref="N47">IFERROR(INDEX('Salary Rates'!L:L,MATCH(($B$24),'Salary Rates'!$A:$A,0),FALSE)&amp;"",0)*M47</f>
        <v>0</v>
      </c>
      <c r="O47" s="132"/>
    </row>
    <row r="48" spans="1:15">
      <c r="A48" s="192">
        <v>3</v>
      </c>
      <c r="B48" s="202"/>
      <c r="C48" s="126"/>
      <c r="D48" s="188" cm="1">
        <f t="array" ref="D48">IFERROR(INDEX('Salary Rates'!F:F,MATCH(($B$24),'Salary Rates'!$A:$A,0),FALSE)&amp;"",0)*C48</f>
        <v>0</v>
      </c>
      <c r="E48" s="52"/>
      <c r="F48" s="188" cm="1">
        <f t="array" ref="F48">IFERROR(INDEX('Salary Rates'!H:H,MATCH(($B$24),'Salary Rates'!$A:$A,0),FALSE)&amp;"",0)*E48</f>
        <v>0</v>
      </c>
      <c r="G48" s="52"/>
      <c r="H48" s="188" cm="1">
        <f t="array" ref="H48">IFERROR(INDEX('Salary Rates'!I:I,MATCH(($B$24),'Salary Rates'!$A:$A,0),FALSE)&amp;"",0)*G48</f>
        <v>0</v>
      </c>
      <c r="I48" s="52"/>
      <c r="J48" s="188" cm="1">
        <f t="array" ref="J48">IFERROR(INDEX('Salary Rates'!J:J,MATCH(($B$24),'Salary Rates'!$A:$A,0),FALSE)&amp;"",0)*I48</f>
        <v>0</v>
      </c>
      <c r="K48" s="52"/>
      <c r="L48" s="188" cm="1">
        <f t="array" ref="L48">IFERROR(INDEX('Salary Rates'!K:K,MATCH(($B$24),'Salary Rates'!$A:$A,0),FALSE)&amp;"",0)*K48</f>
        <v>0</v>
      </c>
      <c r="M48" s="52"/>
      <c r="N48" s="188" cm="1">
        <f t="array" ref="N48">IFERROR(INDEX('Salary Rates'!L:L,MATCH(($B$24),'Salary Rates'!$A:$A,0),FALSE)&amp;"",0)*M48</f>
        <v>0</v>
      </c>
      <c r="O48" s="132"/>
    </row>
    <row r="49" spans="1:15">
      <c r="A49" s="192">
        <v>4</v>
      </c>
      <c r="B49" s="202"/>
      <c r="C49" s="126"/>
      <c r="D49" s="188" cm="1">
        <f t="array" ref="D49">IFERROR(INDEX('Salary Rates'!F:F,MATCH(($B$24),'Salary Rates'!$A:$A,0),FALSE)&amp;"",0)*C49</f>
        <v>0</v>
      </c>
      <c r="E49" s="52"/>
      <c r="F49" s="188" cm="1">
        <f t="array" ref="F49">IFERROR(INDEX('Salary Rates'!H:H,MATCH(($B$24),'Salary Rates'!$A:$A,0),FALSE)&amp;"",0)*E49</f>
        <v>0</v>
      </c>
      <c r="G49" s="52"/>
      <c r="H49" s="188" cm="1">
        <f t="array" ref="H49">IFERROR(INDEX('Salary Rates'!I:I,MATCH(($B$24),'Salary Rates'!$A:$A,0),FALSE)&amp;"",0)*G49</f>
        <v>0</v>
      </c>
      <c r="I49" s="52"/>
      <c r="J49" s="188" cm="1">
        <f t="array" ref="J49">IFERROR(INDEX('Salary Rates'!J:J,MATCH(($B$24),'Salary Rates'!$A:$A,0),FALSE)&amp;"",0)*I49</f>
        <v>0</v>
      </c>
      <c r="K49" s="52"/>
      <c r="L49" s="188" cm="1">
        <f t="array" ref="L49">IFERROR(INDEX('Salary Rates'!K:K,MATCH(($B$24),'Salary Rates'!$A:$A,0),FALSE)&amp;"",0)*K49</f>
        <v>0</v>
      </c>
      <c r="M49" s="52"/>
      <c r="N49" s="188" cm="1">
        <f t="array" ref="N49">IFERROR(INDEX('Salary Rates'!L:L,MATCH(($B$24),'Salary Rates'!$A:$A,0),FALSE)&amp;"",0)*M49</f>
        <v>0</v>
      </c>
      <c r="O49" s="132"/>
    </row>
    <row r="50" spans="1:15" ht="15" collapsed="1" thickBot="1">
      <c r="A50" s="13"/>
      <c r="B50" s="12"/>
      <c r="C50" s="127"/>
      <c r="D50" s="139">
        <f>SUM(D46:D49)</f>
        <v>0</v>
      </c>
      <c r="E50" s="140"/>
      <c r="F50" s="139">
        <f>SUM(F46:F49)</f>
        <v>0</v>
      </c>
      <c r="G50" s="140"/>
      <c r="H50" s="139">
        <f>SUM(H46:H49)</f>
        <v>0</v>
      </c>
      <c r="I50" s="140"/>
      <c r="J50" s="139">
        <f>SUM(J46:J49)</f>
        <v>0</v>
      </c>
      <c r="K50" s="140"/>
      <c r="L50" s="139">
        <f>SUM(L46:L49)</f>
        <v>0</v>
      </c>
      <c r="M50" s="140"/>
      <c r="N50" s="139">
        <f>SUM(N46:N49)</f>
        <v>0</v>
      </c>
      <c r="O50" s="131"/>
    </row>
    <row r="52" spans="1:15" ht="15" thickBot="1"/>
    <row r="53" spans="1:15">
      <c r="A53" s="91" t="s">
        <v>68</v>
      </c>
      <c r="B53" s="78"/>
      <c r="C53" s="236">
        <v>2024</v>
      </c>
      <c r="D53" s="235"/>
      <c r="E53" s="234">
        <v>2025</v>
      </c>
      <c r="F53" s="235"/>
      <c r="G53" s="234">
        <v>2026</v>
      </c>
      <c r="H53" s="235"/>
      <c r="I53" s="234">
        <v>2027</v>
      </c>
      <c r="J53" s="235"/>
      <c r="K53" s="234">
        <v>2028</v>
      </c>
      <c r="L53" s="235"/>
      <c r="M53" s="234">
        <v>2029</v>
      </c>
      <c r="N53" s="235"/>
      <c r="O53" s="129"/>
    </row>
    <row r="54" spans="1:15">
      <c r="A54" s="97" t="s">
        <v>60</v>
      </c>
      <c r="B54" s="95" t="s">
        <v>61</v>
      </c>
      <c r="C54" s="116" t="s">
        <v>62</v>
      </c>
      <c r="D54" s="96" t="s">
        <v>63</v>
      </c>
      <c r="E54" s="95" t="s">
        <v>62</v>
      </c>
      <c r="F54" s="96" t="s">
        <v>63</v>
      </c>
      <c r="G54" s="95" t="s">
        <v>62</v>
      </c>
      <c r="H54" s="96" t="s">
        <v>63</v>
      </c>
      <c r="I54" s="95" t="s">
        <v>62</v>
      </c>
      <c r="J54" s="96" t="s">
        <v>63</v>
      </c>
      <c r="K54" s="95" t="s">
        <v>62</v>
      </c>
      <c r="L54" s="96" t="s">
        <v>63</v>
      </c>
      <c r="M54" s="95" t="s">
        <v>62</v>
      </c>
      <c r="N54" s="96" t="s">
        <v>63</v>
      </c>
      <c r="O54" s="130" t="s">
        <v>64</v>
      </c>
    </row>
    <row r="55" spans="1:15">
      <c r="A55" s="192"/>
      <c r="B55" s="189"/>
      <c r="C55" s="126"/>
      <c r="D55" s="188"/>
      <c r="E55" s="52"/>
      <c r="F55" s="188" cm="1">
        <f t="array" ref="F55">IFERROR(INDEX('Salary Rates'!H:H,MATCH(($B$11),'Salary Rates'!$A:$A,0),FALSE)&amp;"",0)*E55</f>
        <v>0</v>
      </c>
      <c r="G55" s="52"/>
      <c r="H55" s="188" cm="1">
        <f t="array" ref="H55">IFERROR(INDEX('Salary Rates'!I:I,MATCH(($B$11),'Salary Rates'!$A:$A,0),FALSE)&amp;"",0)*G55</f>
        <v>0</v>
      </c>
      <c r="I55" s="52"/>
      <c r="J55" s="188" cm="1">
        <f t="array" ref="J55">IFERROR(INDEX('Salary Rates'!J:J,MATCH(($B$11),'Salary Rates'!$A:$A,0),FALSE)&amp;"",0)*I55</f>
        <v>0</v>
      </c>
      <c r="K55" s="52"/>
      <c r="L55" s="188" cm="1">
        <f t="array" ref="L55">IFERROR(INDEX('Salary Rates'!K:K,MATCH(($B$11),'Salary Rates'!$A:$A,0),FALSE)&amp;"",0)*K55</f>
        <v>0</v>
      </c>
      <c r="M55" s="52"/>
      <c r="N55" s="188" cm="1">
        <f t="array" ref="N55">IFERROR(INDEX('Salary Rates'!L:L,MATCH(($B$11),'Salary Rates'!$A:$A,0),FALSE)&amp;"",0)*M55</f>
        <v>0</v>
      </c>
      <c r="O55" s="133"/>
    </row>
    <row r="56" spans="1:15">
      <c r="A56" s="192"/>
      <c r="B56" s="189"/>
      <c r="C56" s="126"/>
      <c r="D56" s="188"/>
      <c r="E56" s="52"/>
      <c r="F56" s="188" cm="1">
        <f t="array" ref="F56">IFERROR(INDEX('Salary Rates'!H:H,MATCH(($B$11),'Salary Rates'!$A:$A,0),FALSE)&amp;"",0)*E56</f>
        <v>0</v>
      </c>
      <c r="G56" s="52"/>
      <c r="H56" s="188" cm="1">
        <f t="array" ref="H56">IFERROR(INDEX('Salary Rates'!I:I,MATCH(($B$11),'Salary Rates'!$A:$A,0),FALSE)&amp;"",0)*G56</f>
        <v>0</v>
      </c>
      <c r="I56" s="52"/>
      <c r="J56" s="188" cm="1">
        <f t="array" ref="J56">IFERROR(INDEX('Salary Rates'!J:J,MATCH(($B$11),'Salary Rates'!$A:$A,0),FALSE)&amp;"",0)*I56</f>
        <v>0</v>
      </c>
      <c r="K56" s="52"/>
      <c r="L56" s="188" cm="1">
        <f t="array" ref="L56">IFERROR(INDEX('Salary Rates'!K:K,MATCH(($B$11),'Salary Rates'!$A:$A,0),FALSE)&amp;"",0)*K56</f>
        <v>0</v>
      </c>
      <c r="M56" s="52"/>
      <c r="N56" s="188" cm="1">
        <f t="array" ref="N56">IFERROR(INDEX('Salary Rates'!L:L,MATCH(($B$11),'Salary Rates'!$A:$A,0),FALSE)&amp;"",0)*M56</f>
        <v>0</v>
      </c>
      <c r="O56" s="133"/>
    </row>
    <row r="57" spans="1:15">
      <c r="A57" s="192"/>
      <c r="B57" s="189"/>
      <c r="C57" s="126"/>
      <c r="D57" s="188"/>
      <c r="E57" s="126"/>
      <c r="F57" s="188" cm="1">
        <f t="array" ref="F57">IFERROR(INDEX('Salary Rates'!H:H,MATCH(($B$11),'Salary Rates'!$A:$A,0),FALSE)&amp;"",0)*E57</f>
        <v>0</v>
      </c>
      <c r="G57" s="52"/>
      <c r="H57" s="188" cm="1">
        <f t="array" ref="H57">IFERROR(INDEX('Salary Rates'!I:I,MATCH(($B$11),'Salary Rates'!$A:$A,0),FALSE)&amp;"",0)*G57</f>
        <v>0</v>
      </c>
      <c r="I57" s="52"/>
      <c r="J57" s="188" cm="1">
        <f t="array" ref="J57">IFERROR(INDEX('Salary Rates'!J:J,MATCH(($B$11),'Salary Rates'!$A:$A,0),FALSE)&amp;"",0)*I57</f>
        <v>0</v>
      </c>
      <c r="K57" s="126"/>
      <c r="L57" s="188" cm="1">
        <f t="array" ref="L57">IFERROR(INDEX('Salary Rates'!K:K,MATCH(($B$11),'Salary Rates'!$A:$A,0),FALSE)&amp;"",0)*K57</f>
        <v>0</v>
      </c>
      <c r="M57" s="126"/>
      <c r="N57" s="188" cm="1">
        <f t="array" ref="N57">IFERROR(INDEX('Salary Rates'!L:L,MATCH(($B$11),'Salary Rates'!$A:$A,0),FALSE)&amp;"",0)*M57</f>
        <v>0</v>
      </c>
      <c r="O57" s="132"/>
    </row>
    <row r="58" spans="1:15">
      <c r="A58" s="192"/>
      <c r="B58" s="189"/>
      <c r="C58" s="126"/>
      <c r="D58" s="188"/>
      <c r="E58" s="52"/>
      <c r="F58" s="188" cm="1">
        <f t="array" ref="F58">IFERROR(INDEX('Salary Rates'!H:H,MATCH(($B$11),'Salary Rates'!$A:$A,0),FALSE)&amp;"",0)*E58</f>
        <v>0</v>
      </c>
      <c r="G58" s="52"/>
      <c r="H58" s="188" cm="1">
        <f t="array" ref="H58">IFERROR(INDEX('Salary Rates'!I:I,MATCH(($B$11),'Salary Rates'!$A:$A,0),FALSE)&amp;"",0)*G58</f>
        <v>0</v>
      </c>
      <c r="I58" s="52"/>
      <c r="J58" s="188" cm="1">
        <f t="array" ref="J58">IFERROR(INDEX('Salary Rates'!J:J,MATCH(($B$11),'Salary Rates'!$A:$A,0),FALSE)&amp;"",0)*I58</f>
        <v>0</v>
      </c>
      <c r="K58" s="52"/>
      <c r="L58" s="188" cm="1">
        <f t="array" ref="L58">IFERROR(INDEX('Salary Rates'!K:K,MATCH(($B$11),'Salary Rates'!$A:$A,0),FALSE)&amp;"",0)*K58</f>
        <v>0</v>
      </c>
      <c r="M58" s="52"/>
      <c r="N58" s="188" cm="1">
        <f t="array" ref="N58">IFERROR(INDEX('Salary Rates'!L:L,MATCH(($B$11),'Salary Rates'!$A:$A,0),FALSE)&amp;"",0)*M58</f>
        <v>0</v>
      </c>
      <c r="O58" s="132"/>
    </row>
    <row r="59" spans="1:15">
      <c r="A59" s="192">
        <v>5</v>
      </c>
      <c r="B59" s="189"/>
      <c r="C59" s="126"/>
      <c r="D59" s="188" cm="1">
        <f t="array" ref="D59">IFERROR(INDEX('Salary Rates'!F:F,MATCH((B59),'Salary Rates'!A:A,0),FALSE)&amp;"",0)*C59</f>
        <v>0</v>
      </c>
      <c r="E59" s="52"/>
      <c r="F59" s="188" cm="1">
        <f t="array" ref="F59">IFERROR(INDEX('Salary Rates'!H:H,MATCH(($B$11),'Salary Rates'!$A:$A,0),FALSE)&amp;"",0)*E59</f>
        <v>0</v>
      </c>
      <c r="G59" s="52"/>
      <c r="H59" s="188" cm="1">
        <f t="array" ref="H59">IFERROR(INDEX('Salary Rates'!I:I,MATCH(($B$11),'Salary Rates'!$A:$A,0),FALSE)&amp;"",0)*G59</f>
        <v>0</v>
      </c>
      <c r="I59" s="52"/>
      <c r="J59" s="188" cm="1">
        <f t="array" ref="J59">IFERROR(INDEX('Salary Rates'!J:J,MATCH(($B$11),'Salary Rates'!$A:$A,0),FALSE)&amp;"",0)*I59</f>
        <v>0</v>
      </c>
      <c r="K59" s="52"/>
      <c r="L59" s="188" cm="1">
        <f t="array" ref="L59">IFERROR(INDEX('Salary Rates'!K:K,MATCH(($B$11),'Salary Rates'!$A:$A,0),FALSE)&amp;"",0)*K59</f>
        <v>0</v>
      </c>
      <c r="M59" s="52"/>
      <c r="N59" s="188" cm="1">
        <f t="array" ref="N59">IFERROR(INDEX('Salary Rates'!L:L,MATCH(($B$11),'Salary Rates'!$A:$A,0),FALSE)&amp;"",0)*M59</f>
        <v>0</v>
      </c>
      <c r="O59" s="132"/>
    </row>
    <row r="60" spans="1:15">
      <c r="A60" s="192">
        <v>6</v>
      </c>
      <c r="B60" s="189"/>
      <c r="C60" s="126"/>
      <c r="D60" s="188" cm="1">
        <f t="array" ref="D60">IFERROR(INDEX('Salary Rates'!F:F,MATCH((B60),'Salary Rates'!A:A,0),FALSE)&amp;"",0)*C60</f>
        <v>0</v>
      </c>
      <c r="E60" s="52"/>
      <c r="F60" s="188" cm="1">
        <f t="array" ref="F60">IFERROR(INDEX('Salary Rates'!H:H,MATCH(($B$11),'Salary Rates'!$A:$A,0),FALSE)&amp;"",0)*E60</f>
        <v>0</v>
      </c>
      <c r="G60" s="52"/>
      <c r="H60" s="188" cm="1">
        <f t="array" ref="H60">IFERROR(INDEX('Salary Rates'!I:I,MATCH(($B$11),'Salary Rates'!$A:$A,0),FALSE)&amp;"",0)*G60</f>
        <v>0</v>
      </c>
      <c r="I60" s="52"/>
      <c r="J60" s="188" cm="1">
        <f t="array" ref="J60">IFERROR(INDEX('Salary Rates'!J:J,MATCH(($B$11),'Salary Rates'!$A:$A,0),FALSE)&amp;"",0)*I60</f>
        <v>0</v>
      </c>
      <c r="K60" s="52"/>
      <c r="L60" s="188" cm="1">
        <f t="array" ref="L60">IFERROR(INDEX('Salary Rates'!K:K,MATCH(($B$11),'Salary Rates'!$A:$A,0),FALSE)&amp;"",0)*K60</f>
        <v>0</v>
      </c>
      <c r="M60" s="52"/>
      <c r="N60" s="188" cm="1">
        <f t="array" ref="N60">IFERROR(INDEX('Salary Rates'!L:L,MATCH(($B$11),'Salary Rates'!$A:$A,0),FALSE)&amp;"",0)*M60</f>
        <v>0</v>
      </c>
      <c r="O60" s="132"/>
    </row>
    <row r="61" spans="1:15">
      <c r="A61" s="192">
        <v>7</v>
      </c>
      <c r="B61" s="189"/>
      <c r="C61" s="126"/>
      <c r="D61" s="188" cm="1">
        <f t="array" ref="D61">IFERROR(INDEX('Salary Rates'!F:F,MATCH((B61),'Salary Rates'!A:A,0),FALSE)&amp;"",0)*C61</f>
        <v>0</v>
      </c>
      <c r="E61" s="52"/>
      <c r="F61" s="188" cm="1">
        <f t="array" ref="F61">IFERROR(INDEX('Salary Rates'!H:H,MATCH(($B$11),'Salary Rates'!$A:$A,0),FALSE)&amp;"",0)*E61</f>
        <v>0</v>
      </c>
      <c r="G61" s="52"/>
      <c r="H61" s="188" cm="1">
        <f t="array" ref="H61">IFERROR(INDEX('Salary Rates'!I:I,MATCH(($B$11),'Salary Rates'!$A:$A,0),FALSE)&amp;"",0)*G61</f>
        <v>0</v>
      </c>
      <c r="I61" s="52"/>
      <c r="J61" s="188" cm="1">
        <f t="array" ref="J61">IFERROR(INDEX('Salary Rates'!J:J,MATCH(($B$11),'Salary Rates'!$A:$A,0),FALSE)&amp;"",0)*I61</f>
        <v>0</v>
      </c>
      <c r="K61" s="52"/>
      <c r="L61" s="188" cm="1">
        <f t="array" ref="L61">IFERROR(INDEX('Salary Rates'!K:K,MATCH(($B$11),'Salary Rates'!$A:$A,0),FALSE)&amp;"",0)*K61</f>
        <v>0</v>
      </c>
      <c r="M61" s="52"/>
      <c r="N61" s="188" cm="1">
        <f t="array" ref="N61">IFERROR(INDEX('Salary Rates'!L:L,MATCH(($B$11),'Salary Rates'!$A:$A,0),FALSE)&amp;"",0)*M61</f>
        <v>0</v>
      </c>
      <c r="O61" s="132"/>
    </row>
    <row r="62" spans="1:15">
      <c r="A62" s="192">
        <v>8</v>
      </c>
      <c r="B62" s="189"/>
      <c r="C62" s="126"/>
      <c r="D62" s="188" cm="1">
        <f t="array" ref="D62">IFERROR(INDEX('Salary Rates'!F:F,MATCH((B62),'Salary Rates'!A:A,0),FALSE)&amp;"",0)*C62</f>
        <v>0</v>
      </c>
      <c r="E62" s="52"/>
      <c r="F62" s="188" cm="1">
        <f t="array" ref="F62">IFERROR(INDEX('Salary Rates'!H:H,MATCH(($B$11),'Salary Rates'!$A:$A,0),FALSE)&amp;"",0)*E62</f>
        <v>0</v>
      </c>
      <c r="G62" s="52"/>
      <c r="H62" s="188" cm="1">
        <f t="array" ref="H62">IFERROR(INDEX('Salary Rates'!I:I,MATCH(($B$11),'Salary Rates'!$A:$A,0),FALSE)&amp;"",0)*G62</f>
        <v>0</v>
      </c>
      <c r="I62" s="52"/>
      <c r="J62" s="188" cm="1">
        <f t="array" ref="J62">IFERROR(INDEX('Salary Rates'!J:J,MATCH(($B$11),'Salary Rates'!$A:$A,0),FALSE)&amp;"",0)*I62</f>
        <v>0</v>
      </c>
      <c r="K62" s="52"/>
      <c r="L62" s="188" cm="1">
        <f t="array" ref="L62">IFERROR(INDEX('Salary Rates'!K:K,MATCH(($B$11),'Salary Rates'!$A:$A,0),FALSE)&amp;"",0)*K62</f>
        <v>0</v>
      </c>
      <c r="M62" s="52"/>
      <c r="N62" s="188" cm="1">
        <f t="array" ref="N62">IFERROR(INDEX('Salary Rates'!L:L,MATCH(($B$11),'Salary Rates'!$A:$A,0),FALSE)&amp;"",0)*M62</f>
        <v>0</v>
      </c>
      <c r="O62" s="132"/>
    </row>
    <row r="63" spans="1:15">
      <c r="A63" s="192">
        <v>9</v>
      </c>
      <c r="B63" s="189"/>
      <c r="C63" s="126"/>
      <c r="D63" s="188" cm="1">
        <f t="array" ref="D63">IFERROR(INDEX('Salary Rates'!F:F,MATCH((B63),'Salary Rates'!A:A,0),FALSE)&amp;"",0)*C63</f>
        <v>0</v>
      </c>
      <c r="E63" s="52"/>
      <c r="F63" s="188" cm="1">
        <f t="array" ref="F63">IFERROR(INDEX('Salary Rates'!H:H,MATCH(($B$11),'Salary Rates'!$A:$A,0),FALSE)&amp;"",0)*E63</f>
        <v>0</v>
      </c>
      <c r="G63" s="52"/>
      <c r="H63" s="188" cm="1">
        <f t="array" ref="H63">IFERROR(INDEX('Salary Rates'!I:I,MATCH(($B$11),'Salary Rates'!$A:$A,0),FALSE)&amp;"",0)*G63</f>
        <v>0</v>
      </c>
      <c r="I63" s="52"/>
      <c r="J63" s="188" cm="1">
        <f t="array" ref="J63">IFERROR(INDEX('Salary Rates'!J:J,MATCH(($B$11),'Salary Rates'!$A:$A,0),FALSE)&amp;"",0)*I63</f>
        <v>0</v>
      </c>
      <c r="K63" s="52"/>
      <c r="L63" s="188" cm="1">
        <f t="array" ref="L63">IFERROR(INDEX('Salary Rates'!K:K,MATCH(($B$11),'Salary Rates'!$A:$A,0),FALSE)&amp;"",0)*K63</f>
        <v>0</v>
      </c>
      <c r="M63" s="52"/>
      <c r="N63" s="188" cm="1">
        <f t="array" ref="N63">IFERROR(INDEX('Salary Rates'!L:L,MATCH(($B$11),'Salary Rates'!$A:$A,0),FALSE)&amp;"",0)*M63</f>
        <v>0</v>
      </c>
      <c r="O63" s="132"/>
    </row>
    <row r="64" spans="1:15">
      <c r="A64" s="192">
        <v>10</v>
      </c>
      <c r="B64" s="189"/>
      <c r="C64" s="126"/>
      <c r="D64" s="188" cm="1">
        <f t="array" ref="D64">IFERROR(INDEX('Salary Rates'!F:F,MATCH((B64),'Salary Rates'!A:A,0),FALSE)&amp;"",0)*C64</f>
        <v>0</v>
      </c>
      <c r="E64" s="52"/>
      <c r="F64" s="188" cm="1">
        <f t="array" ref="F64">IFERROR(INDEX('Salary Rates'!H:H,MATCH(($B$11),'Salary Rates'!$A:$A,0),FALSE)&amp;"",0)*E64</f>
        <v>0</v>
      </c>
      <c r="G64" s="52"/>
      <c r="H64" s="188" cm="1">
        <f t="array" ref="H64">IFERROR(INDEX('Salary Rates'!I:I,MATCH(($B$11),'Salary Rates'!$A:$A,0),FALSE)&amp;"",0)*G64</f>
        <v>0</v>
      </c>
      <c r="I64" s="52"/>
      <c r="J64" s="188" cm="1">
        <f t="array" ref="J64">IFERROR(INDEX('Salary Rates'!J:J,MATCH(($B$11),'Salary Rates'!$A:$A,0),FALSE)&amp;"",0)*I64</f>
        <v>0</v>
      </c>
      <c r="K64" s="52"/>
      <c r="L64" s="188" cm="1">
        <f t="array" ref="L64">IFERROR(INDEX('Salary Rates'!K:K,MATCH(($B$11),'Salary Rates'!$A:$A,0),FALSE)&amp;"",0)*K64</f>
        <v>0</v>
      </c>
      <c r="M64" s="52"/>
      <c r="N64" s="188" cm="1">
        <f t="array" ref="N64">IFERROR(INDEX('Salary Rates'!L:L,MATCH(($B$11),'Salary Rates'!$A:$A,0),FALSE)&amp;"",0)*M64</f>
        <v>0</v>
      </c>
      <c r="O64" s="132"/>
    </row>
    <row r="65" spans="1:15" ht="15" collapsed="1" thickBot="1">
      <c r="A65" s="13"/>
      <c r="B65" s="12"/>
      <c r="C65" s="127"/>
      <c r="D65" s="139">
        <f>SUM(D55:D64)</f>
        <v>0</v>
      </c>
      <c r="E65" s="140"/>
      <c r="F65" s="139">
        <f>SUM(F55:F64)</f>
        <v>0</v>
      </c>
      <c r="G65" s="140"/>
      <c r="H65" s="139">
        <f>SUM(H55:H64)</f>
        <v>0</v>
      </c>
      <c r="I65" s="140"/>
      <c r="J65" s="139">
        <f>SUM(J55:J64)</f>
        <v>0</v>
      </c>
      <c r="K65" s="140"/>
      <c r="L65" s="139">
        <f>SUM(L55:L64)</f>
        <v>0</v>
      </c>
      <c r="M65" s="140"/>
      <c r="N65" s="139">
        <f>SUM(N55:N64)</f>
        <v>0</v>
      </c>
      <c r="O65" s="131"/>
    </row>
    <row r="66" spans="1:15">
      <c r="A66" s="91"/>
      <c r="B66" s="78"/>
      <c r="C66" s="91"/>
      <c r="D66" s="79"/>
      <c r="E66" s="78"/>
      <c r="F66" s="79"/>
      <c r="G66" s="78"/>
      <c r="H66" s="79"/>
      <c r="I66" s="78"/>
      <c r="J66" s="79"/>
      <c r="K66" s="78"/>
      <c r="L66" s="79"/>
      <c r="M66" s="78"/>
      <c r="N66" s="79"/>
      <c r="O66" s="129"/>
    </row>
    <row r="67" spans="1:15">
      <c r="A67" s="97" t="s">
        <v>66</v>
      </c>
      <c r="B67" s="95"/>
      <c r="C67" s="116" t="s">
        <v>62</v>
      </c>
      <c r="D67" s="96" t="s">
        <v>63</v>
      </c>
      <c r="E67" s="95" t="s">
        <v>62</v>
      </c>
      <c r="F67" s="96" t="s">
        <v>63</v>
      </c>
      <c r="G67" s="95" t="s">
        <v>62</v>
      </c>
      <c r="H67" s="96" t="s">
        <v>63</v>
      </c>
      <c r="I67" s="95" t="s">
        <v>62</v>
      </c>
      <c r="J67" s="96" t="s">
        <v>63</v>
      </c>
      <c r="K67" s="95" t="s">
        <v>62</v>
      </c>
      <c r="L67" s="96" t="s">
        <v>63</v>
      </c>
      <c r="M67" s="95" t="s">
        <v>62</v>
      </c>
      <c r="N67" s="96" t="s">
        <v>63</v>
      </c>
      <c r="O67" s="130" t="s">
        <v>64</v>
      </c>
    </row>
    <row r="68" spans="1:15">
      <c r="A68" s="193"/>
      <c r="B68" s="202"/>
      <c r="C68" s="199"/>
      <c r="D68" s="188" cm="1">
        <f t="array" ref="D68">IFERROR(INDEX('Salary Rates'!F:F,MATCH(($B$24),'Salary Rates'!$A:$A,0),FALSE)&amp;"",0)*C68</f>
        <v>0</v>
      </c>
      <c r="E68" s="190"/>
      <c r="F68" s="188" cm="1">
        <f t="array" ref="F68">IFERROR(INDEX('Salary Rates'!H:H,MATCH(($B$24),'Salary Rates'!$A:$A,0),FALSE)&amp;"",0)*E68</f>
        <v>0</v>
      </c>
      <c r="G68" s="190"/>
      <c r="H68" s="188" cm="1">
        <f t="array" ref="H68">IFERROR(INDEX('Salary Rates'!I:I,MATCH(($B$24),'Salary Rates'!$A:$A,0),FALSE)&amp;"",0)*G68</f>
        <v>0</v>
      </c>
      <c r="I68" s="190"/>
      <c r="J68" s="188" cm="1">
        <f t="array" ref="J68">IFERROR(INDEX('Salary Rates'!J:J,MATCH(($B$24),'Salary Rates'!$A:$A,0),FALSE)&amp;"",0)*I68</f>
        <v>0</v>
      </c>
      <c r="K68" s="190"/>
      <c r="L68" s="188" cm="1">
        <f t="array" ref="L68">IFERROR(INDEX('Salary Rates'!K:K,MATCH(($B$24),'Salary Rates'!$A:$A,0),FALSE)&amp;"",0)*K68</f>
        <v>0</v>
      </c>
      <c r="M68" s="190"/>
      <c r="N68" s="188" cm="1">
        <f t="array" ref="N68">IFERROR(INDEX('Salary Rates'!L:L,MATCH(($B$24),'Salary Rates'!$A:$A,0),FALSE)&amp;"",0)*M68</f>
        <v>0</v>
      </c>
      <c r="O68" s="133"/>
    </row>
    <row r="69" spans="1:15">
      <c r="A69" s="192">
        <v>2</v>
      </c>
      <c r="B69" s="202"/>
      <c r="C69" s="197"/>
      <c r="D69" s="188" cm="1">
        <f t="array" ref="D69">IFERROR(INDEX('Salary Rates'!F:F,MATCH(($B$24),'Salary Rates'!$A:$A,0),FALSE)&amp;"",0)*C69</f>
        <v>0</v>
      </c>
      <c r="E69" s="191"/>
      <c r="F69" s="188" cm="1">
        <f t="array" ref="F69">IFERROR(INDEX('Salary Rates'!H:H,MATCH(($B$24),'Salary Rates'!$A:$A,0),FALSE)&amp;"",0)*E69</f>
        <v>0</v>
      </c>
      <c r="G69" s="191"/>
      <c r="H69" s="188" cm="1">
        <f t="array" ref="H69">IFERROR(INDEX('Salary Rates'!I:I,MATCH(($B$24),'Salary Rates'!$A:$A,0),FALSE)&amp;"",0)*G69</f>
        <v>0</v>
      </c>
      <c r="I69" s="191"/>
      <c r="J69" s="188" cm="1">
        <f t="array" ref="J69">IFERROR(INDEX('Salary Rates'!J:J,MATCH(($B$24),'Salary Rates'!$A:$A,0),FALSE)&amp;"",0)*I69</f>
        <v>0</v>
      </c>
      <c r="K69" s="191"/>
      <c r="L69" s="188" cm="1">
        <f t="array" ref="L69">IFERROR(INDEX('Salary Rates'!K:K,MATCH(($B$24),'Salary Rates'!$A:$A,0),FALSE)&amp;"",0)*K69</f>
        <v>0</v>
      </c>
      <c r="M69" s="191"/>
      <c r="N69" s="188" cm="1">
        <f t="array" ref="N69">IFERROR(INDEX('Salary Rates'!L:L,MATCH(($B$24),'Salary Rates'!$A:$A,0),FALSE)&amp;"",0)*M69</f>
        <v>0</v>
      </c>
      <c r="O69" s="132"/>
    </row>
    <row r="70" spans="1:15">
      <c r="A70" s="192">
        <v>3</v>
      </c>
      <c r="B70" s="202"/>
      <c r="C70" s="198"/>
      <c r="D70" s="188" cm="1">
        <f t="array" ref="D70">IFERROR(INDEX('Salary Rates'!F:F,MATCH(($B$24),'Salary Rates'!$A:$A,0),FALSE)&amp;"",0)*C70</f>
        <v>0</v>
      </c>
      <c r="E70" s="191"/>
      <c r="F70" s="188" cm="1">
        <f t="array" ref="F70">IFERROR(INDEX('Salary Rates'!H:H,MATCH(($B$24),'Salary Rates'!$A:$A,0),FALSE)&amp;"",0)*E70</f>
        <v>0</v>
      </c>
      <c r="G70" s="191"/>
      <c r="H70" s="188" cm="1">
        <f t="array" ref="H70">IFERROR(INDEX('Salary Rates'!I:I,MATCH(($B$24),'Salary Rates'!$A:$A,0),FALSE)&amp;"",0)*G70</f>
        <v>0</v>
      </c>
      <c r="I70" s="191"/>
      <c r="J70" s="188" cm="1">
        <f t="array" ref="J70">IFERROR(INDEX('Salary Rates'!J:J,MATCH(($B$24),'Salary Rates'!$A:$A,0),FALSE)&amp;"",0)*I70</f>
        <v>0</v>
      </c>
      <c r="K70" s="191"/>
      <c r="L70" s="188" cm="1">
        <f t="array" ref="L70">IFERROR(INDEX('Salary Rates'!K:K,MATCH(($B$24),'Salary Rates'!$A:$A,0),FALSE)&amp;"",0)*K70</f>
        <v>0</v>
      </c>
      <c r="M70" s="191"/>
      <c r="N70" s="188" cm="1">
        <f t="array" ref="N70">IFERROR(INDEX('Salary Rates'!L:L,MATCH(($B$24),'Salary Rates'!$A:$A,0),FALSE)&amp;"",0)*M70</f>
        <v>0</v>
      </c>
      <c r="O70" s="132"/>
    </row>
    <row r="71" spans="1:15">
      <c r="A71" s="192">
        <v>4</v>
      </c>
      <c r="B71" s="202"/>
      <c r="C71" s="198"/>
      <c r="D71" s="188" cm="1">
        <f t="array" ref="D71">IFERROR(INDEX('Salary Rates'!F:F,MATCH(($B$24),'Salary Rates'!$A:$A,0),FALSE)&amp;"",0)*C71</f>
        <v>0</v>
      </c>
      <c r="E71" s="191"/>
      <c r="F71" s="188" cm="1">
        <f t="array" ref="F71">IFERROR(INDEX('Salary Rates'!H:H,MATCH(($B$24),'Salary Rates'!$A:$A,0),FALSE)&amp;"",0)*E71</f>
        <v>0</v>
      </c>
      <c r="G71" s="191"/>
      <c r="H71" s="188" cm="1">
        <f t="array" ref="H71">IFERROR(INDEX('Salary Rates'!I:I,MATCH(($B$24),'Salary Rates'!$A:$A,0),FALSE)&amp;"",0)*G71</f>
        <v>0</v>
      </c>
      <c r="I71" s="191"/>
      <c r="J71" s="188" cm="1">
        <f t="array" ref="J71">IFERROR(INDEX('Salary Rates'!J:J,MATCH(($B$24),'Salary Rates'!$A:$A,0),FALSE)&amp;"",0)*I71</f>
        <v>0</v>
      </c>
      <c r="K71" s="191"/>
      <c r="L71" s="188" cm="1">
        <f t="array" ref="L71">IFERROR(INDEX('Salary Rates'!K:K,MATCH(($B$24),'Salary Rates'!$A:$A,0),FALSE)&amp;"",0)*K71</f>
        <v>0</v>
      </c>
      <c r="M71" s="191"/>
      <c r="N71" s="188" cm="1">
        <f t="array" ref="N71">IFERROR(INDEX('Salary Rates'!L:L,MATCH(($B$24),'Salary Rates'!$A:$A,0),FALSE)&amp;"",0)*M71</f>
        <v>0</v>
      </c>
      <c r="O71" s="132"/>
    </row>
    <row r="72" spans="1:15" ht="15" collapsed="1" thickBot="1">
      <c r="A72" s="195"/>
      <c r="B72" s="203"/>
      <c r="C72" s="127"/>
      <c r="D72" s="139">
        <f>SUM(D68:D71)</f>
        <v>0</v>
      </c>
      <c r="E72" s="140"/>
      <c r="F72" s="139">
        <f>SUM(F68:F71)</f>
        <v>0</v>
      </c>
      <c r="G72" s="140"/>
      <c r="H72" s="139">
        <f>SUM(H68:H71)</f>
        <v>0</v>
      </c>
      <c r="I72" s="140"/>
      <c r="J72" s="139">
        <f>SUM(J68:J71)</f>
        <v>0</v>
      </c>
      <c r="K72" s="140"/>
      <c r="L72" s="139">
        <f>SUM(L68:L71)</f>
        <v>0</v>
      </c>
      <c r="M72" s="140"/>
      <c r="N72" s="139">
        <f>SUM(N68:N71)</f>
        <v>0</v>
      </c>
      <c r="O72" s="131"/>
    </row>
    <row r="74" spans="1:15" ht="17.25" customHeight="1" thickBot="1"/>
    <row r="75" spans="1:15">
      <c r="A75" s="91" t="s">
        <v>69</v>
      </c>
      <c r="B75" s="78"/>
      <c r="C75" s="236">
        <v>2024</v>
      </c>
      <c r="D75" s="235"/>
      <c r="E75" s="234">
        <v>2025</v>
      </c>
      <c r="F75" s="235"/>
      <c r="G75" s="234">
        <v>2026</v>
      </c>
      <c r="H75" s="235"/>
      <c r="I75" s="234">
        <v>2027</v>
      </c>
      <c r="J75" s="235"/>
      <c r="K75" s="234">
        <v>2028</v>
      </c>
      <c r="L75" s="235"/>
      <c r="M75" s="234">
        <v>2029</v>
      </c>
      <c r="N75" s="235"/>
      <c r="O75" s="129"/>
    </row>
    <row r="76" spans="1:15">
      <c r="A76" s="97" t="s">
        <v>60</v>
      </c>
      <c r="B76" s="95" t="s">
        <v>61</v>
      </c>
      <c r="C76" s="116" t="s">
        <v>62</v>
      </c>
      <c r="D76" s="96" t="s">
        <v>63</v>
      </c>
      <c r="E76" s="95" t="s">
        <v>62</v>
      </c>
      <c r="F76" s="96" t="s">
        <v>63</v>
      </c>
      <c r="G76" s="95" t="s">
        <v>62</v>
      </c>
      <c r="H76" s="96" t="s">
        <v>63</v>
      </c>
      <c r="I76" s="95" t="s">
        <v>62</v>
      </c>
      <c r="J76" s="96" t="s">
        <v>63</v>
      </c>
      <c r="K76" s="95" t="s">
        <v>62</v>
      </c>
      <c r="L76" s="96" t="s">
        <v>63</v>
      </c>
      <c r="M76" s="95" t="s">
        <v>62</v>
      </c>
      <c r="N76" s="96" t="s">
        <v>63</v>
      </c>
      <c r="O76" s="130" t="s">
        <v>64</v>
      </c>
    </row>
    <row r="77" spans="1:15">
      <c r="A77" s="192"/>
      <c r="B77" s="189"/>
      <c r="C77" s="190"/>
      <c r="D77" s="188" cm="1">
        <f t="array" ref="D77">IFERROR(INDEX('Salary Rates'!F:F,MATCH((B77),'Salary Rates'!A:A,0),FALSE)&amp;"",0)*C77</f>
        <v>0</v>
      </c>
      <c r="E77" s="191"/>
      <c r="F77" s="188" cm="1">
        <f t="array" ref="F77">IFERROR(INDEX('Salary Rates'!H:H,MATCH(($B$11),'Salary Rates'!$A:$A,0),FALSE)&amp;"",0)*E77</f>
        <v>0</v>
      </c>
      <c r="G77" s="191"/>
      <c r="H77" s="188" cm="1">
        <f t="array" ref="H77">IFERROR(INDEX('Salary Rates'!I:I,MATCH(($B$11),'Salary Rates'!$A:$A,0),FALSE)&amp;"",0)*G77</f>
        <v>0</v>
      </c>
      <c r="I77" s="191"/>
      <c r="J77" s="188" cm="1">
        <f t="array" ref="J77">IFERROR(INDEX('Salary Rates'!J:J,MATCH(($B$11),'Salary Rates'!$A:$A,0),FALSE)&amp;"",0)*I77</f>
        <v>0</v>
      </c>
      <c r="K77" s="191"/>
      <c r="L77" s="188" cm="1">
        <f t="array" ref="L77">IFERROR(INDEX('Salary Rates'!K:K,MATCH(($B$11),'Salary Rates'!$A:$A,0),FALSE)&amp;"",0)*K77</f>
        <v>0</v>
      </c>
      <c r="M77" s="191"/>
      <c r="N77" s="188" cm="1">
        <f t="array" ref="N77">IFERROR(INDEX('Salary Rates'!L:L,MATCH(($B$11),'Salary Rates'!$A:$A,0),FALSE)&amp;"",0)*M77</f>
        <v>0</v>
      </c>
      <c r="O77" s="133"/>
    </row>
    <row r="78" spans="1:15">
      <c r="A78" s="192">
        <v>2</v>
      </c>
      <c r="B78" s="189"/>
      <c r="C78" s="190"/>
      <c r="D78" s="188" cm="1">
        <f t="array" ref="D78">IFERROR(INDEX('Salary Rates'!F:F,MATCH((B78),'Salary Rates'!A:A,0),FALSE)&amp;"",0)*C78</f>
        <v>0</v>
      </c>
      <c r="E78" s="191"/>
      <c r="F78" s="188" cm="1">
        <f t="array" ref="F78">IFERROR(INDEX('Salary Rates'!H:H,MATCH(($B$11),'Salary Rates'!$A:$A,0),FALSE)&amp;"",0)*E78</f>
        <v>0</v>
      </c>
      <c r="G78" s="191"/>
      <c r="H78" s="188" cm="1">
        <f t="array" ref="H78">IFERROR(INDEX('Salary Rates'!I:I,MATCH(($B$11),'Salary Rates'!$A:$A,0),FALSE)&amp;"",0)*G78</f>
        <v>0</v>
      </c>
      <c r="I78" s="191"/>
      <c r="J78" s="188" cm="1">
        <f t="array" ref="J78">IFERROR(INDEX('Salary Rates'!J:J,MATCH(($B$11),'Salary Rates'!$A:$A,0),FALSE)&amp;"",0)*I78</f>
        <v>0</v>
      </c>
      <c r="K78" s="191"/>
      <c r="L78" s="188" cm="1">
        <f t="array" ref="L78">IFERROR(INDEX('Salary Rates'!K:K,MATCH(($B$11),'Salary Rates'!$A:$A,0),FALSE)&amp;"",0)*K78</f>
        <v>0</v>
      </c>
      <c r="M78" s="191"/>
      <c r="N78" s="188" cm="1">
        <f t="array" ref="N78">IFERROR(INDEX('Salary Rates'!L:L,MATCH(($B$11),'Salary Rates'!$A:$A,0),FALSE)&amp;"",0)*M78</f>
        <v>0</v>
      </c>
      <c r="O78" s="132"/>
    </row>
    <row r="79" spans="1:15">
      <c r="A79" s="192">
        <v>3</v>
      </c>
      <c r="B79" s="189"/>
      <c r="C79" s="190"/>
      <c r="D79" s="188" cm="1">
        <f t="array" ref="D79">IFERROR(INDEX('Salary Rates'!F:F,MATCH((B79),'Salary Rates'!A:A,0),FALSE)&amp;"",0)*C79</f>
        <v>0</v>
      </c>
      <c r="E79" s="190"/>
      <c r="F79" s="188" cm="1">
        <f t="array" ref="F79">IFERROR(INDEX('Salary Rates'!H:H,MATCH(($B$11),'Salary Rates'!$A:$A,0),FALSE)&amp;"",0)*E79</f>
        <v>0</v>
      </c>
      <c r="G79" s="191"/>
      <c r="H79" s="188" cm="1">
        <f t="array" ref="H79">IFERROR(INDEX('Salary Rates'!I:I,MATCH(($B$11),'Salary Rates'!$A:$A,0),FALSE)&amp;"",0)*G79</f>
        <v>0</v>
      </c>
      <c r="I79" s="191"/>
      <c r="J79" s="188" cm="1">
        <f t="array" ref="J79">IFERROR(INDEX('Salary Rates'!J:J,MATCH(($B$11),'Salary Rates'!$A:$A,0),FALSE)&amp;"",0)*I79</f>
        <v>0</v>
      </c>
      <c r="K79" s="190"/>
      <c r="L79" s="188" cm="1">
        <f t="array" ref="L79">IFERROR(INDEX('Salary Rates'!K:K,MATCH(($B$11),'Salary Rates'!$A:$A,0),FALSE)&amp;"",0)*K79</f>
        <v>0</v>
      </c>
      <c r="M79" s="190"/>
      <c r="N79" s="188" cm="1">
        <f t="array" ref="N79">IFERROR(INDEX('Salary Rates'!L:L,MATCH(($B$11),'Salary Rates'!$A:$A,0),FALSE)&amp;"",0)*M79</f>
        <v>0</v>
      </c>
      <c r="O79" s="132"/>
    </row>
    <row r="80" spans="1:15">
      <c r="A80" s="192">
        <v>4</v>
      </c>
      <c r="B80" s="189"/>
      <c r="C80" s="190"/>
      <c r="D80" s="188" cm="1">
        <f t="array" ref="D80">IFERROR(INDEX('Salary Rates'!F:F,MATCH((B80),'Salary Rates'!A:A,0),FALSE)&amp;"",0)*C80</f>
        <v>0</v>
      </c>
      <c r="E80" s="191"/>
      <c r="F80" s="188" cm="1">
        <f t="array" ref="F80">IFERROR(INDEX('Salary Rates'!H:H,MATCH(($B$11),'Salary Rates'!$A:$A,0),FALSE)&amp;"",0)*E80</f>
        <v>0</v>
      </c>
      <c r="G80" s="191"/>
      <c r="H80" s="188" cm="1">
        <f t="array" ref="H80">IFERROR(INDEX('Salary Rates'!I:I,MATCH(($B$11),'Salary Rates'!$A:$A,0),FALSE)&amp;"",0)*G80</f>
        <v>0</v>
      </c>
      <c r="I80" s="191"/>
      <c r="J80" s="188" cm="1">
        <f t="array" ref="J80">IFERROR(INDEX('Salary Rates'!J:J,MATCH(($B$11),'Salary Rates'!$A:$A,0),FALSE)&amp;"",0)*I80</f>
        <v>0</v>
      </c>
      <c r="K80" s="191"/>
      <c r="L80" s="188" cm="1">
        <f t="array" ref="L80">IFERROR(INDEX('Salary Rates'!K:K,MATCH(($B$11),'Salary Rates'!$A:$A,0),FALSE)&amp;"",0)*K80</f>
        <v>0</v>
      </c>
      <c r="M80" s="191"/>
      <c r="N80" s="188" cm="1">
        <f t="array" ref="N80">IFERROR(INDEX('Salary Rates'!L:L,MATCH(($B$11),'Salary Rates'!$A:$A,0),FALSE)&amp;"",0)*M80</f>
        <v>0</v>
      </c>
      <c r="O80" s="132"/>
    </row>
    <row r="81" spans="1:15">
      <c r="A81" s="192">
        <v>5</v>
      </c>
      <c r="B81" s="189"/>
      <c r="C81" s="190"/>
      <c r="D81" s="188" cm="1">
        <f t="array" ref="D81">IFERROR(INDEX('Salary Rates'!F:F,MATCH((B81),'Salary Rates'!A:A,0),FALSE)&amp;"",0)*C81</f>
        <v>0</v>
      </c>
      <c r="E81" s="191"/>
      <c r="F81" s="188" cm="1">
        <f t="array" ref="F81">IFERROR(INDEX('Salary Rates'!H:H,MATCH(($B$11),'Salary Rates'!$A:$A,0),FALSE)&amp;"",0)*E81</f>
        <v>0</v>
      </c>
      <c r="G81" s="191"/>
      <c r="H81" s="188" cm="1">
        <f t="array" ref="H81">IFERROR(INDEX('Salary Rates'!I:I,MATCH(($B$11),'Salary Rates'!$A:$A,0),FALSE)&amp;"",0)*G81</f>
        <v>0</v>
      </c>
      <c r="I81" s="191"/>
      <c r="J81" s="188" cm="1">
        <f t="array" ref="J81">IFERROR(INDEX('Salary Rates'!J:J,MATCH(($B$11),'Salary Rates'!$A:$A,0),FALSE)&amp;"",0)*I81</f>
        <v>0</v>
      </c>
      <c r="K81" s="191"/>
      <c r="L81" s="188" cm="1">
        <f t="array" ref="L81">IFERROR(INDEX('Salary Rates'!K:K,MATCH(($B$11),'Salary Rates'!$A:$A,0),FALSE)&amp;"",0)*K81</f>
        <v>0</v>
      </c>
      <c r="M81" s="191"/>
      <c r="N81" s="188" cm="1">
        <f t="array" ref="N81">IFERROR(INDEX('Salary Rates'!L:L,MATCH(($B$11),'Salary Rates'!$A:$A,0),FALSE)&amp;"",0)*M81</f>
        <v>0</v>
      </c>
      <c r="O81" s="132"/>
    </row>
    <row r="82" spans="1:15">
      <c r="A82" s="192">
        <v>6</v>
      </c>
      <c r="B82" s="189"/>
      <c r="C82" s="190"/>
      <c r="D82" s="188" cm="1">
        <f t="array" ref="D82">IFERROR(INDEX('Salary Rates'!F:F,MATCH((B82),'Salary Rates'!A:A,0),FALSE)&amp;"",0)*C82</f>
        <v>0</v>
      </c>
      <c r="E82" s="191"/>
      <c r="F82" s="188" cm="1">
        <f t="array" ref="F82">IFERROR(INDEX('Salary Rates'!H:H,MATCH(($B$11),'Salary Rates'!$A:$A,0),FALSE)&amp;"",0)*E82</f>
        <v>0</v>
      </c>
      <c r="G82" s="191"/>
      <c r="H82" s="188" cm="1">
        <f t="array" ref="H82">IFERROR(INDEX('Salary Rates'!I:I,MATCH(($B$11),'Salary Rates'!$A:$A,0),FALSE)&amp;"",0)*G82</f>
        <v>0</v>
      </c>
      <c r="I82" s="191"/>
      <c r="J82" s="188" cm="1">
        <f t="array" ref="J82">IFERROR(INDEX('Salary Rates'!J:J,MATCH(($B$11),'Salary Rates'!$A:$A,0),FALSE)&amp;"",0)*I82</f>
        <v>0</v>
      </c>
      <c r="K82" s="191"/>
      <c r="L82" s="188" cm="1">
        <f t="array" ref="L82">IFERROR(INDEX('Salary Rates'!K:K,MATCH(($B$11),'Salary Rates'!$A:$A,0),FALSE)&amp;"",0)*K82</f>
        <v>0</v>
      </c>
      <c r="M82" s="191"/>
      <c r="N82" s="188" cm="1">
        <f t="array" ref="N82">IFERROR(INDEX('Salary Rates'!L:L,MATCH(($B$11),'Salary Rates'!$A:$A,0),FALSE)&amp;"",0)*M82</f>
        <v>0</v>
      </c>
      <c r="O82" s="132"/>
    </row>
    <row r="83" spans="1:15">
      <c r="A83" s="192">
        <v>7</v>
      </c>
      <c r="B83" s="189"/>
      <c r="C83" s="190"/>
      <c r="D83" s="188" cm="1">
        <f t="array" ref="D83">IFERROR(INDEX('Salary Rates'!F:F,MATCH((B83),'Salary Rates'!A:A,0),FALSE)&amp;"",0)*C83</f>
        <v>0</v>
      </c>
      <c r="E83" s="191"/>
      <c r="F83" s="188" cm="1">
        <f t="array" ref="F83">IFERROR(INDEX('Salary Rates'!H:H,MATCH(($B$11),'Salary Rates'!$A:$A,0),FALSE)&amp;"",0)*E83</f>
        <v>0</v>
      </c>
      <c r="G83" s="191"/>
      <c r="H83" s="188" cm="1">
        <f t="array" ref="H83">IFERROR(INDEX('Salary Rates'!I:I,MATCH(($B$11),'Salary Rates'!$A:$A,0),FALSE)&amp;"",0)*G83</f>
        <v>0</v>
      </c>
      <c r="I83" s="191"/>
      <c r="J83" s="188" cm="1">
        <f t="array" ref="J83">IFERROR(INDEX('Salary Rates'!J:J,MATCH(($B$11),'Salary Rates'!$A:$A,0),FALSE)&amp;"",0)*I83</f>
        <v>0</v>
      </c>
      <c r="K83" s="191"/>
      <c r="L83" s="188" cm="1">
        <f t="array" ref="L83">IFERROR(INDEX('Salary Rates'!K:K,MATCH(($B$11),'Salary Rates'!$A:$A,0),FALSE)&amp;"",0)*K83</f>
        <v>0</v>
      </c>
      <c r="M83" s="191"/>
      <c r="N83" s="188" cm="1">
        <f t="array" ref="N83">IFERROR(INDEX('Salary Rates'!L:L,MATCH(($B$11),'Salary Rates'!$A:$A,0),FALSE)&amp;"",0)*M83</f>
        <v>0</v>
      </c>
      <c r="O83" s="132"/>
    </row>
    <row r="84" spans="1:15">
      <c r="A84" s="192">
        <v>8</v>
      </c>
      <c r="B84" s="189"/>
      <c r="C84" s="190"/>
      <c r="D84" s="188" cm="1">
        <f t="array" ref="D84">IFERROR(INDEX('Salary Rates'!F:F,MATCH((B84),'Salary Rates'!A:A,0),FALSE)&amp;"",0)*C84</f>
        <v>0</v>
      </c>
      <c r="E84" s="191"/>
      <c r="F84" s="188" cm="1">
        <f t="array" ref="F84">IFERROR(INDEX('Salary Rates'!H:H,MATCH(($B$11),'Salary Rates'!$A:$A,0),FALSE)&amp;"",0)*E84</f>
        <v>0</v>
      </c>
      <c r="G84" s="191"/>
      <c r="H84" s="188" cm="1">
        <f t="array" ref="H84">IFERROR(INDEX('Salary Rates'!I:I,MATCH(($B$11),'Salary Rates'!$A:$A,0),FALSE)&amp;"",0)*G84</f>
        <v>0</v>
      </c>
      <c r="I84" s="191"/>
      <c r="J84" s="188" cm="1">
        <f t="array" ref="J84">IFERROR(INDEX('Salary Rates'!J:J,MATCH(($B$11),'Salary Rates'!$A:$A,0),FALSE)&amp;"",0)*I84</f>
        <v>0</v>
      </c>
      <c r="K84" s="191"/>
      <c r="L84" s="188" cm="1">
        <f t="array" ref="L84">IFERROR(INDEX('Salary Rates'!K:K,MATCH(($B$11),'Salary Rates'!$A:$A,0),FALSE)&amp;"",0)*K84</f>
        <v>0</v>
      </c>
      <c r="M84" s="191"/>
      <c r="N84" s="188" cm="1">
        <f t="array" ref="N84">IFERROR(INDEX('Salary Rates'!L:L,MATCH(($B$11),'Salary Rates'!$A:$A,0),FALSE)&amp;"",0)*M84</f>
        <v>0</v>
      </c>
      <c r="O84" s="132"/>
    </row>
    <row r="85" spans="1:15">
      <c r="A85" s="192">
        <v>9</v>
      </c>
      <c r="B85" s="189"/>
      <c r="C85" s="190"/>
      <c r="D85" s="188" cm="1">
        <f t="array" ref="D85">IFERROR(INDEX('Salary Rates'!F:F,MATCH((B85),'Salary Rates'!A:A,0),FALSE)&amp;"",0)*C85</f>
        <v>0</v>
      </c>
      <c r="E85" s="191"/>
      <c r="F85" s="188" cm="1">
        <f t="array" ref="F85">IFERROR(INDEX('Salary Rates'!H:H,MATCH(($B$11),'Salary Rates'!$A:$A,0),FALSE)&amp;"",0)*E85</f>
        <v>0</v>
      </c>
      <c r="G85" s="191"/>
      <c r="H85" s="188" cm="1">
        <f t="array" ref="H85">IFERROR(INDEX('Salary Rates'!I:I,MATCH(($B$11),'Salary Rates'!$A:$A,0),FALSE)&amp;"",0)*G85</f>
        <v>0</v>
      </c>
      <c r="I85" s="191"/>
      <c r="J85" s="188" cm="1">
        <f t="array" ref="J85">IFERROR(INDEX('Salary Rates'!J:J,MATCH(($B$11),'Salary Rates'!$A:$A,0),FALSE)&amp;"",0)*I85</f>
        <v>0</v>
      </c>
      <c r="K85" s="191"/>
      <c r="L85" s="188" cm="1">
        <f t="array" ref="L85">IFERROR(INDEX('Salary Rates'!K:K,MATCH(($B$11),'Salary Rates'!$A:$A,0),FALSE)&amp;"",0)*K85</f>
        <v>0</v>
      </c>
      <c r="M85" s="191"/>
      <c r="N85" s="188" cm="1">
        <f t="array" ref="N85">IFERROR(INDEX('Salary Rates'!L:L,MATCH(($B$11),'Salary Rates'!$A:$A,0),FALSE)&amp;"",0)*M85</f>
        <v>0</v>
      </c>
      <c r="O85" s="132"/>
    </row>
    <row r="86" spans="1:15">
      <c r="A86" s="192">
        <v>10</v>
      </c>
      <c r="B86" s="189"/>
      <c r="C86" s="190"/>
      <c r="D86" s="188" cm="1">
        <f t="array" ref="D86">IFERROR(INDEX('Salary Rates'!F:F,MATCH((B86),'Salary Rates'!A:A,0),FALSE)&amp;"",0)*C86</f>
        <v>0</v>
      </c>
      <c r="E86" s="191"/>
      <c r="F86" s="188" cm="1">
        <f t="array" ref="F86">IFERROR(INDEX('Salary Rates'!H:H,MATCH(($B$11),'Salary Rates'!$A:$A,0),FALSE)&amp;"",0)*E86</f>
        <v>0</v>
      </c>
      <c r="G86" s="191"/>
      <c r="H86" s="188" cm="1">
        <f t="array" ref="H86">IFERROR(INDEX('Salary Rates'!I:I,MATCH(($B$11),'Salary Rates'!$A:$A,0),FALSE)&amp;"",0)*G86</f>
        <v>0</v>
      </c>
      <c r="I86" s="191"/>
      <c r="J86" s="188" cm="1">
        <f t="array" ref="J86">IFERROR(INDEX('Salary Rates'!J:J,MATCH(($B$11),'Salary Rates'!$A:$A,0),FALSE)&amp;"",0)*I86</f>
        <v>0</v>
      </c>
      <c r="K86" s="191"/>
      <c r="L86" s="188" cm="1">
        <f t="array" ref="L86">IFERROR(INDEX('Salary Rates'!K:K,MATCH(($B$11),'Salary Rates'!$A:$A,0),FALSE)&amp;"",0)*K86</f>
        <v>0</v>
      </c>
      <c r="M86" s="191"/>
      <c r="N86" s="188" cm="1">
        <f t="array" ref="N86">IFERROR(INDEX('Salary Rates'!L:L,MATCH(($B$11),'Salary Rates'!$A:$A,0),FALSE)&amp;"",0)*M86</f>
        <v>0</v>
      </c>
      <c r="O86" s="132"/>
    </row>
    <row r="87" spans="1:15" ht="15" collapsed="1" thickBot="1">
      <c r="A87" s="195"/>
      <c r="B87" s="196"/>
      <c r="C87" s="127"/>
      <c r="D87" s="139">
        <f>SUM(D77:D86)</f>
        <v>0</v>
      </c>
      <c r="E87" s="140"/>
      <c r="F87" s="139">
        <f>SUM(F77:F86)</f>
        <v>0</v>
      </c>
      <c r="G87" s="140"/>
      <c r="H87" s="139">
        <f>SUM(H77:H86)</f>
        <v>0</v>
      </c>
      <c r="I87" s="140"/>
      <c r="J87" s="139">
        <f>SUM(J77:J86)</f>
        <v>0</v>
      </c>
      <c r="K87" s="140"/>
      <c r="L87" s="139">
        <f>SUM(L77:L86)</f>
        <v>0</v>
      </c>
      <c r="M87" s="140"/>
      <c r="N87" s="139">
        <f>SUM(N77:N86)</f>
        <v>0</v>
      </c>
      <c r="O87" s="131"/>
    </row>
    <row r="88" spans="1:15">
      <c r="A88" s="91"/>
      <c r="B88" s="78"/>
      <c r="C88" s="91"/>
      <c r="D88" s="79"/>
      <c r="E88" s="78"/>
      <c r="F88" s="79"/>
      <c r="G88" s="78"/>
      <c r="H88" s="79"/>
      <c r="I88" s="78"/>
      <c r="J88" s="79"/>
      <c r="K88" s="78"/>
      <c r="L88" s="79"/>
      <c r="M88" s="78"/>
      <c r="N88" s="79"/>
      <c r="O88" s="129"/>
    </row>
    <row r="89" spans="1:15">
      <c r="A89" s="97" t="s">
        <v>66</v>
      </c>
      <c r="B89" s="95"/>
      <c r="C89" s="116" t="s">
        <v>62</v>
      </c>
      <c r="D89" s="96" t="s">
        <v>63</v>
      </c>
      <c r="E89" s="95" t="s">
        <v>62</v>
      </c>
      <c r="F89" s="96" t="s">
        <v>63</v>
      </c>
      <c r="G89" s="95" t="s">
        <v>62</v>
      </c>
      <c r="H89" s="96" t="s">
        <v>63</v>
      </c>
      <c r="I89" s="95" t="s">
        <v>62</v>
      </c>
      <c r="J89" s="96" t="s">
        <v>63</v>
      </c>
      <c r="K89" s="95" t="s">
        <v>62</v>
      </c>
      <c r="L89" s="96" t="s">
        <v>63</v>
      </c>
      <c r="M89" s="95" t="s">
        <v>62</v>
      </c>
      <c r="N89" s="96" t="s">
        <v>63</v>
      </c>
      <c r="O89" s="130" t="s">
        <v>64</v>
      </c>
    </row>
    <row r="90" spans="1:15">
      <c r="A90" s="192"/>
      <c r="B90" s="202"/>
      <c r="C90" s="197"/>
      <c r="D90" s="188" cm="1">
        <f t="array" ref="D90">IFERROR(INDEX('Salary Rates'!F:F,MATCH(($B$24),'Salary Rates'!$A:$A,0),FALSE)&amp;"",0)*C90</f>
        <v>0</v>
      </c>
      <c r="E90" s="190"/>
      <c r="F90" s="188" cm="1">
        <f t="array" ref="F90">IFERROR(INDEX('Salary Rates'!H:H,MATCH(($B$24),'Salary Rates'!$A:$A,0),FALSE)&amp;"",0)*E90</f>
        <v>0</v>
      </c>
      <c r="G90" s="190"/>
      <c r="H90" s="188" cm="1">
        <f t="array" ref="H90">IFERROR(INDEX('Salary Rates'!I:I,MATCH(($B$24),'Salary Rates'!$A:$A,0),FALSE)&amp;"",0)*G90</f>
        <v>0</v>
      </c>
      <c r="I90" s="190"/>
      <c r="J90" s="188" cm="1">
        <f t="array" ref="J90">IFERROR(INDEX('Salary Rates'!J:J,MATCH(($B$24),'Salary Rates'!$A:$A,0),FALSE)&amp;"",0)*I90</f>
        <v>0</v>
      </c>
      <c r="K90" s="190"/>
      <c r="L90" s="188" cm="1">
        <f t="array" ref="L90">IFERROR(INDEX('Salary Rates'!K:K,MATCH(($B$24),'Salary Rates'!$A:$A,0),FALSE)&amp;"",0)*K90</f>
        <v>0</v>
      </c>
      <c r="M90" s="190"/>
      <c r="N90" s="188" cm="1">
        <f t="array" ref="N90">IFERROR(INDEX('Salary Rates'!L:L,MATCH(($B$24),'Salary Rates'!$A:$A,0),FALSE)&amp;"",0)*M90</f>
        <v>0</v>
      </c>
      <c r="O90" s="132"/>
    </row>
    <row r="91" spans="1:15">
      <c r="A91" s="192">
        <v>2</v>
      </c>
      <c r="B91" s="202"/>
      <c r="C91" s="197"/>
      <c r="D91" s="188" cm="1">
        <f t="array" ref="D91">IFERROR(INDEX('Salary Rates'!F:F,MATCH(($B$24),'Salary Rates'!$A:$A,0),FALSE)&amp;"",0)*C91</f>
        <v>0</v>
      </c>
      <c r="E91" s="191"/>
      <c r="F91" s="188" cm="1">
        <f t="array" ref="F91">IFERROR(INDEX('Salary Rates'!H:H,MATCH(($B$24),'Salary Rates'!$A:$A,0),FALSE)&amp;"",0)*E91</f>
        <v>0</v>
      </c>
      <c r="G91" s="191"/>
      <c r="H91" s="188" cm="1">
        <f t="array" ref="H91">IFERROR(INDEX('Salary Rates'!I:I,MATCH(($B$24),'Salary Rates'!$A:$A,0),FALSE)&amp;"",0)*G91</f>
        <v>0</v>
      </c>
      <c r="I91" s="191"/>
      <c r="J91" s="188" cm="1">
        <f t="array" ref="J91">IFERROR(INDEX('Salary Rates'!J:J,MATCH(($B$24),'Salary Rates'!$A:$A,0),FALSE)&amp;"",0)*I91</f>
        <v>0</v>
      </c>
      <c r="K91" s="191"/>
      <c r="L91" s="188" cm="1">
        <f t="array" ref="L91">IFERROR(INDEX('Salary Rates'!K:K,MATCH(($B$24),'Salary Rates'!$A:$A,0),FALSE)&amp;"",0)*K91</f>
        <v>0</v>
      </c>
      <c r="M91" s="191"/>
      <c r="N91" s="188" cm="1">
        <f t="array" ref="N91">IFERROR(INDEX('Salary Rates'!L:L,MATCH(($B$24),'Salary Rates'!$A:$A,0),FALSE)&amp;"",0)*M91</f>
        <v>0</v>
      </c>
      <c r="O91" s="132"/>
    </row>
    <row r="92" spans="1:15">
      <c r="A92" s="192">
        <v>3</v>
      </c>
      <c r="B92" s="202"/>
      <c r="C92" s="198"/>
      <c r="D92" s="188" cm="1">
        <f t="array" ref="D92">IFERROR(INDEX('Salary Rates'!F:F,MATCH(($B$24),'Salary Rates'!$A:$A,0),FALSE)&amp;"",0)*C92</f>
        <v>0</v>
      </c>
      <c r="E92" s="191"/>
      <c r="F92" s="188" cm="1">
        <f t="array" ref="F92">IFERROR(INDEX('Salary Rates'!H:H,MATCH(($B$24),'Salary Rates'!$A:$A,0),FALSE)&amp;"",0)*E92</f>
        <v>0</v>
      </c>
      <c r="G92" s="191"/>
      <c r="H92" s="188" cm="1">
        <f t="array" ref="H92">IFERROR(INDEX('Salary Rates'!I:I,MATCH(($B$24),'Salary Rates'!$A:$A,0),FALSE)&amp;"",0)*G92</f>
        <v>0</v>
      </c>
      <c r="I92" s="191"/>
      <c r="J92" s="188" cm="1">
        <f t="array" ref="J92">IFERROR(INDEX('Salary Rates'!J:J,MATCH(($B$24),'Salary Rates'!$A:$A,0),FALSE)&amp;"",0)*I92</f>
        <v>0</v>
      </c>
      <c r="K92" s="191"/>
      <c r="L92" s="188" cm="1">
        <f t="array" ref="L92">IFERROR(INDEX('Salary Rates'!K:K,MATCH(($B$24),'Salary Rates'!$A:$A,0),FALSE)&amp;"",0)*K92</f>
        <v>0</v>
      </c>
      <c r="M92" s="191"/>
      <c r="N92" s="188" cm="1">
        <f t="array" ref="N92">IFERROR(INDEX('Salary Rates'!L:L,MATCH(($B$24),'Salary Rates'!$A:$A,0),FALSE)&amp;"",0)*M92</f>
        <v>0</v>
      </c>
      <c r="O92" s="132"/>
    </row>
    <row r="93" spans="1:15">
      <c r="A93" s="192">
        <v>4</v>
      </c>
      <c r="B93" s="202"/>
      <c r="C93" s="198"/>
      <c r="D93" s="188" cm="1">
        <f t="array" ref="D93">IFERROR(INDEX('Salary Rates'!F:F,MATCH(($B$24),'Salary Rates'!$A:$A,0),FALSE)&amp;"",0)*C93</f>
        <v>0</v>
      </c>
      <c r="E93" s="191"/>
      <c r="F93" s="188" cm="1">
        <f t="array" ref="F93">IFERROR(INDEX('Salary Rates'!H:H,MATCH(($B$24),'Salary Rates'!$A:$A,0),FALSE)&amp;"",0)*E93</f>
        <v>0</v>
      </c>
      <c r="G93" s="191"/>
      <c r="H93" s="188" cm="1">
        <f t="array" ref="H93">IFERROR(INDEX('Salary Rates'!I:I,MATCH(($B$24),'Salary Rates'!$A:$A,0),FALSE)&amp;"",0)*G93</f>
        <v>0</v>
      </c>
      <c r="I93" s="191"/>
      <c r="J93" s="188" cm="1">
        <f t="array" ref="J93">IFERROR(INDEX('Salary Rates'!J:J,MATCH(($B$24),'Salary Rates'!$A:$A,0),FALSE)&amp;"",0)*I93</f>
        <v>0</v>
      </c>
      <c r="K93" s="191"/>
      <c r="L93" s="188" cm="1">
        <f t="array" ref="L93">IFERROR(INDEX('Salary Rates'!K:K,MATCH(($B$24),'Salary Rates'!$A:$A,0),FALSE)&amp;"",0)*K93</f>
        <v>0</v>
      </c>
      <c r="M93" s="191"/>
      <c r="N93" s="188" cm="1">
        <f t="array" ref="N93">IFERROR(INDEX('Salary Rates'!L:L,MATCH(($B$24),'Salary Rates'!$A:$A,0),FALSE)&amp;"",0)*M93</f>
        <v>0</v>
      </c>
      <c r="O93" s="132"/>
    </row>
    <row r="94" spans="1:15" ht="15" collapsed="1" thickBot="1">
      <c r="A94" s="195"/>
      <c r="B94" s="196"/>
      <c r="C94" s="127"/>
      <c r="D94" s="139">
        <f>SUM(D90:D93)</f>
        <v>0</v>
      </c>
      <c r="E94" s="140"/>
      <c r="F94" s="139">
        <f>SUM(F90:F93)</f>
        <v>0</v>
      </c>
      <c r="G94" s="140"/>
      <c r="H94" s="139">
        <f>SUM(H90:H93)</f>
        <v>0</v>
      </c>
      <c r="I94" s="140"/>
      <c r="J94" s="139">
        <f>SUM(J90:J93)</f>
        <v>0</v>
      </c>
      <c r="K94" s="140"/>
      <c r="L94" s="139">
        <f>SUM(L90:L93)</f>
        <v>0</v>
      </c>
      <c r="M94" s="140"/>
      <c r="N94" s="139">
        <f>SUM(N90:N93)</f>
        <v>0</v>
      </c>
      <c r="O94" s="131"/>
    </row>
    <row r="96" spans="1:15">
      <c r="A96" s="97" t="s">
        <v>509</v>
      </c>
      <c r="B96" s="95"/>
      <c r="C96" s="116"/>
      <c r="D96" s="214">
        <f>SUM(D21,D28,D43,D50,D65,D72,D87,D94)</f>
        <v>0</v>
      </c>
      <c r="E96" s="95"/>
      <c r="F96" s="96"/>
      <c r="G96" s="95"/>
      <c r="H96" s="96"/>
      <c r="I96" s="95"/>
      <c r="J96" s="96"/>
      <c r="K96" s="95"/>
      <c r="L96" s="96"/>
      <c r="M96" s="95"/>
      <c r="N96" s="96"/>
      <c r="O96" s="130"/>
    </row>
    <row r="98" spans="1:15" ht="15" thickBot="1"/>
    <row r="99" spans="1:15">
      <c r="A99" s="91" t="s">
        <v>512</v>
      </c>
      <c r="B99" s="78"/>
      <c r="C99" s="236">
        <v>2024</v>
      </c>
      <c r="D99" s="235"/>
      <c r="E99" s="234">
        <v>2025</v>
      </c>
      <c r="F99" s="235"/>
      <c r="G99" s="234">
        <v>2026</v>
      </c>
      <c r="H99" s="235"/>
      <c r="I99" s="234">
        <v>2027</v>
      </c>
      <c r="J99" s="235"/>
      <c r="K99" s="234">
        <v>2028</v>
      </c>
      <c r="L99" s="235"/>
      <c r="M99" s="234">
        <v>2029</v>
      </c>
      <c r="N99" s="235"/>
      <c r="O99" s="129"/>
    </row>
    <row r="100" spans="1:15">
      <c r="A100" s="97" t="s">
        <v>60</v>
      </c>
      <c r="B100" s="95" t="s">
        <v>61</v>
      </c>
      <c r="C100" s="116" t="s">
        <v>62</v>
      </c>
      <c r="D100" s="96" t="s">
        <v>63</v>
      </c>
      <c r="E100" s="95" t="s">
        <v>62</v>
      </c>
      <c r="F100" s="96" t="s">
        <v>63</v>
      </c>
      <c r="G100" s="95" t="s">
        <v>62</v>
      </c>
      <c r="H100" s="96" t="s">
        <v>63</v>
      </c>
      <c r="I100" s="95" t="s">
        <v>62</v>
      </c>
      <c r="J100" s="96" t="s">
        <v>63</v>
      </c>
      <c r="K100" s="95" t="s">
        <v>62</v>
      </c>
      <c r="L100" s="96" t="s">
        <v>63</v>
      </c>
      <c r="M100" s="95" t="s">
        <v>62</v>
      </c>
      <c r="N100" s="96" t="s">
        <v>63</v>
      </c>
      <c r="O100" s="130" t="s">
        <v>64</v>
      </c>
    </row>
    <row r="101" spans="1:15">
      <c r="A101" s="192"/>
      <c r="B101" s="189"/>
      <c r="C101" s="190"/>
      <c r="D101" s="188" cm="1">
        <f t="array" ref="D101">IFERROR(INDEX('Salary Rates'!F:F,MATCH((B101),'Salary Rates'!A:A,0),FALSE)&amp;"",0)*C101</f>
        <v>0</v>
      </c>
      <c r="E101" s="191"/>
      <c r="F101" s="188" cm="1">
        <f t="array" ref="F101">IFERROR(INDEX('Salary Rates'!H:H,MATCH(($B$11),'Salary Rates'!$A:$A,0),FALSE)&amp;"",0)*E101</f>
        <v>0</v>
      </c>
      <c r="G101" s="191"/>
      <c r="H101" s="188" cm="1">
        <f t="array" ref="H101">IFERROR(INDEX('Salary Rates'!I:I,MATCH(($B$11),'Salary Rates'!$A:$A,0),FALSE)&amp;"",0)*G101</f>
        <v>0</v>
      </c>
      <c r="I101" s="191"/>
      <c r="J101" s="188" cm="1">
        <f t="array" ref="J101">IFERROR(INDEX('Salary Rates'!J:J,MATCH(($B$11),'Salary Rates'!$A:$A,0),FALSE)&amp;"",0)*I101</f>
        <v>0</v>
      </c>
      <c r="K101" s="191"/>
      <c r="L101" s="188" cm="1">
        <f t="array" ref="L101">IFERROR(INDEX('Salary Rates'!K:K,MATCH(($B$11),'Salary Rates'!$A:$A,0),FALSE)&amp;"",0)*K101</f>
        <v>0</v>
      </c>
      <c r="M101" s="191"/>
      <c r="N101" s="188" cm="1">
        <f t="array" ref="N101">IFERROR(INDEX('Salary Rates'!L:L,MATCH(($B$11),'Salary Rates'!$A:$A,0),FALSE)&amp;"",0)*M101</f>
        <v>0</v>
      </c>
      <c r="O101" s="133"/>
    </row>
    <row r="102" spans="1:15">
      <c r="A102" s="192">
        <v>2</v>
      </c>
      <c r="B102" s="189"/>
      <c r="C102" s="190"/>
      <c r="D102" s="188" cm="1">
        <f t="array" ref="D102">IFERROR(INDEX('Salary Rates'!F:F,MATCH((B102),'Salary Rates'!A:A,0),FALSE)&amp;"",0)*C102</f>
        <v>0</v>
      </c>
      <c r="E102" s="191"/>
      <c r="F102" s="188" cm="1">
        <f t="array" ref="F102">IFERROR(INDEX('Salary Rates'!H:H,MATCH(($B$11),'Salary Rates'!$A:$A,0),FALSE)&amp;"",0)*E102</f>
        <v>0</v>
      </c>
      <c r="G102" s="191"/>
      <c r="H102" s="188" cm="1">
        <f t="array" ref="H102">IFERROR(INDEX('Salary Rates'!I:I,MATCH(($B$11),'Salary Rates'!$A:$A,0),FALSE)&amp;"",0)*G102</f>
        <v>0</v>
      </c>
      <c r="I102" s="191"/>
      <c r="J102" s="188" cm="1">
        <f t="array" ref="J102">IFERROR(INDEX('Salary Rates'!J:J,MATCH(($B$11),'Salary Rates'!$A:$A,0),FALSE)&amp;"",0)*I102</f>
        <v>0</v>
      </c>
      <c r="K102" s="191"/>
      <c r="L102" s="188" cm="1">
        <f t="array" ref="L102">IFERROR(INDEX('Salary Rates'!K:K,MATCH(($B$11),'Salary Rates'!$A:$A,0),FALSE)&amp;"",0)*K102</f>
        <v>0</v>
      </c>
      <c r="M102" s="191"/>
      <c r="N102" s="188" cm="1">
        <f t="array" ref="N102">IFERROR(INDEX('Salary Rates'!L:L,MATCH(($B$11),'Salary Rates'!$A:$A,0),FALSE)&amp;"",0)*M102</f>
        <v>0</v>
      </c>
      <c r="O102" s="132"/>
    </row>
    <row r="103" spans="1:15">
      <c r="A103" s="192">
        <v>3</v>
      </c>
      <c r="B103" s="189"/>
      <c r="C103" s="190"/>
      <c r="D103" s="188" cm="1">
        <f t="array" ref="D103">IFERROR(INDEX('Salary Rates'!F:F,MATCH((B103),'Salary Rates'!A:A,0),FALSE)&amp;"",0)*C103</f>
        <v>0</v>
      </c>
      <c r="E103" s="190"/>
      <c r="F103" s="188" cm="1">
        <f t="array" ref="F103">IFERROR(INDEX('Salary Rates'!H:H,MATCH(($B$11),'Salary Rates'!$A:$A,0),FALSE)&amp;"",0)*E103</f>
        <v>0</v>
      </c>
      <c r="G103" s="191"/>
      <c r="H103" s="188" cm="1">
        <f t="array" ref="H103">IFERROR(INDEX('Salary Rates'!I:I,MATCH(($B$11),'Salary Rates'!$A:$A,0),FALSE)&amp;"",0)*G103</f>
        <v>0</v>
      </c>
      <c r="I103" s="191"/>
      <c r="J103" s="188" cm="1">
        <f t="array" ref="J103">IFERROR(INDEX('Salary Rates'!J:J,MATCH(($B$11),'Salary Rates'!$A:$A,0),FALSE)&amp;"",0)*I103</f>
        <v>0</v>
      </c>
      <c r="K103" s="190"/>
      <c r="L103" s="188" cm="1">
        <f t="array" ref="L103">IFERROR(INDEX('Salary Rates'!K:K,MATCH(($B$11),'Salary Rates'!$A:$A,0),FALSE)&amp;"",0)*K103</f>
        <v>0</v>
      </c>
      <c r="M103" s="190"/>
      <c r="N103" s="188" cm="1">
        <f t="array" ref="N103">IFERROR(INDEX('Salary Rates'!L:L,MATCH(($B$11),'Salary Rates'!$A:$A,0),FALSE)&amp;"",0)*M103</f>
        <v>0</v>
      </c>
      <c r="O103" s="132"/>
    </row>
    <row r="104" spans="1:15">
      <c r="A104" s="192">
        <v>4</v>
      </c>
      <c r="B104" s="189"/>
      <c r="C104" s="190"/>
      <c r="D104" s="188" cm="1">
        <f t="array" ref="D104">IFERROR(INDEX('Salary Rates'!F:F,MATCH((B104),'Salary Rates'!A:A,0),FALSE)&amp;"",0)*C104</f>
        <v>0</v>
      </c>
      <c r="E104" s="191"/>
      <c r="F104" s="188" cm="1">
        <f t="array" ref="F104">IFERROR(INDEX('Salary Rates'!H:H,MATCH(($B$11),'Salary Rates'!$A:$A,0),FALSE)&amp;"",0)*E104</f>
        <v>0</v>
      </c>
      <c r="G104" s="191"/>
      <c r="H104" s="188" cm="1">
        <f t="array" ref="H104">IFERROR(INDEX('Salary Rates'!I:I,MATCH(($B$11),'Salary Rates'!$A:$A,0),FALSE)&amp;"",0)*G104</f>
        <v>0</v>
      </c>
      <c r="I104" s="191"/>
      <c r="J104" s="188" cm="1">
        <f t="array" ref="J104">IFERROR(INDEX('Salary Rates'!J:J,MATCH(($B$11),'Salary Rates'!$A:$A,0),FALSE)&amp;"",0)*I104</f>
        <v>0</v>
      </c>
      <c r="K104" s="191"/>
      <c r="L104" s="188" cm="1">
        <f t="array" ref="L104">IFERROR(INDEX('Salary Rates'!K:K,MATCH(($B$11),'Salary Rates'!$A:$A,0),FALSE)&amp;"",0)*K104</f>
        <v>0</v>
      </c>
      <c r="M104" s="191"/>
      <c r="N104" s="188" cm="1">
        <f t="array" ref="N104">IFERROR(INDEX('Salary Rates'!L:L,MATCH(($B$11),'Salary Rates'!$A:$A,0),FALSE)&amp;"",0)*M104</f>
        <v>0</v>
      </c>
      <c r="O104" s="132"/>
    </row>
  </sheetData>
  <mergeCells count="30">
    <mergeCell ref="M99:N99"/>
    <mergeCell ref="C99:D99"/>
    <mergeCell ref="E99:F99"/>
    <mergeCell ref="G99:H99"/>
    <mergeCell ref="I99:J99"/>
    <mergeCell ref="K99:L99"/>
    <mergeCell ref="M75:N75"/>
    <mergeCell ref="C53:D53"/>
    <mergeCell ref="E53:F53"/>
    <mergeCell ref="G53:H53"/>
    <mergeCell ref="I53:J53"/>
    <mergeCell ref="K53:L53"/>
    <mergeCell ref="M53:N53"/>
    <mergeCell ref="C75:D75"/>
    <mergeCell ref="E75:F75"/>
    <mergeCell ref="G75:H75"/>
    <mergeCell ref="I75:J75"/>
    <mergeCell ref="K75:L75"/>
    <mergeCell ref="M31:N31"/>
    <mergeCell ref="C9:D9"/>
    <mergeCell ref="E9:F9"/>
    <mergeCell ref="G9:H9"/>
    <mergeCell ref="I9:J9"/>
    <mergeCell ref="K9:L9"/>
    <mergeCell ref="M9:N9"/>
    <mergeCell ref="C31:D31"/>
    <mergeCell ref="E31:F31"/>
    <mergeCell ref="G31:H31"/>
    <mergeCell ref="I31:J31"/>
    <mergeCell ref="K31:L31"/>
  </mergeCells>
  <pageMargins left="0.7" right="0.7" top="0.75" bottom="0.75" header="0.3" footer="0.3"/>
  <pageSetup paperSize="9" scale="44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200-000000000000}">
          <x14:formula1>
            <xm:f>'Salary Rates'!$A$6:$A$30</xm:f>
          </x14:formula1>
          <xm:sqref>B55:B64 B33:B42 B11:B20 B77:B86 B101:B104</xm:sqref>
        </x14:dataValidation>
        <x14:dataValidation type="list" allowBlank="1" showInputMessage="1" showErrorMessage="1" xr:uid="{00000000-0002-0000-0200-000001000000}">
          <x14:formula1>
            <xm:f>'Salary Rates'!$A$31:$A$61</xm:f>
          </x14:formula1>
          <xm:sqref>B68:B71 B24:B27 B46:B49 B90:B93</xm:sqref>
        </x14:dataValidation>
        <x14:dataValidation type="list" allowBlank="1" showInputMessage="1" showErrorMessage="1" xr:uid="{00000000-0002-0000-0200-000002000000}">
          <x14:formula1>
            <xm:f>'Salary Rates'!#REF!</xm:f>
          </x14:formula1>
          <xm:sqref>B22:B23 B44:B45 B66:B67 B88:B89 B96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61"/>
  <sheetViews>
    <sheetView workbookViewId="0">
      <pane ySplit="5" topLeftCell="A6" activePane="bottomLeft" state="frozen"/>
      <selection pane="bottomLeft" activeCell="H26" sqref="H26"/>
    </sheetView>
  </sheetViews>
  <sheetFormatPr defaultColWidth="9.109375" defaultRowHeight="12"/>
  <cols>
    <col min="1" max="1" width="15.6640625" style="161" customWidth="1"/>
    <col min="2" max="2" width="16.6640625" style="154" customWidth="1"/>
    <col min="3" max="3" width="17.33203125" style="154" bestFit="1" customWidth="1"/>
    <col min="4" max="4" width="16.6640625" style="154" customWidth="1"/>
    <col min="5" max="5" width="16.44140625" style="161" customWidth="1"/>
    <col min="6" max="8" width="14" style="161" customWidth="1"/>
    <col min="9" max="10" width="11" style="161" customWidth="1"/>
    <col min="11" max="12" width="11.44140625" style="161" customWidth="1"/>
    <col min="13" max="16384" width="9.109375" style="154"/>
  </cols>
  <sheetData>
    <row r="1" spans="1:12" ht="23.25" customHeight="1">
      <c r="A1" s="184" t="s">
        <v>70</v>
      </c>
      <c r="B1" s="171"/>
      <c r="C1" s="171"/>
      <c r="D1" s="171"/>
      <c r="E1" s="186">
        <v>44986</v>
      </c>
      <c r="F1" s="186">
        <v>45352</v>
      </c>
      <c r="G1" s="186">
        <v>45566</v>
      </c>
      <c r="H1" s="186">
        <v>45717</v>
      </c>
      <c r="I1" s="186">
        <v>46082</v>
      </c>
      <c r="J1" s="186">
        <v>46447</v>
      </c>
      <c r="K1" s="186">
        <v>46813</v>
      </c>
      <c r="L1" s="186">
        <v>47178</v>
      </c>
    </row>
    <row r="2" spans="1:12" ht="14.4" thickBot="1">
      <c r="A2" s="167"/>
      <c r="B2" s="168" t="s">
        <v>71</v>
      </c>
      <c r="C2" s="169">
        <v>44996</v>
      </c>
      <c r="D2" s="172"/>
      <c r="E2" s="185" t="s">
        <v>498</v>
      </c>
      <c r="F2" s="185" t="s">
        <v>499</v>
      </c>
      <c r="G2" s="185" t="s">
        <v>500</v>
      </c>
      <c r="H2" s="185" t="s">
        <v>501</v>
      </c>
      <c r="I2" s="237" t="s">
        <v>502</v>
      </c>
      <c r="J2" s="237"/>
      <c r="K2" s="237"/>
      <c r="L2" s="237"/>
    </row>
    <row r="3" spans="1:12" ht="18" hidden="1" customHeight="1" thickBot="1">
      <c r="A3" s="170"/>
      <c r="B3" s="173"/>
      <c r="C3" s="171"/>
      <c r="D3" s="172"/>
      <c r="E3" s="167">
        <v>1.2865</v>
      </c>
      <c r="F3" s="167">
        <v>1.03</v>
      </c>
      <c r="G3" s="167">
        <v>1.02</v>
      </c>
      <c r="H3" s="167">
        <v>1.0249999999999999</v>
      </c>
      <c r="I3" s="167">
        <v>1.02</v>
      </c>
      <c r="J3" s="167">
        <v>1.02</v>
      </c>
      <c r="K3" s="167">
        <v>1.02</v>
      </c>
      <c r="L3" s="167">
        <v>1.02</v>
      </c>
    </row>
    <row r="4" spans="1:12" ht="27.6">
      <c r="A4" s="174" t="s">
        <v>72</v>
      </c>
      <c r="B4" s="175" t="s">
        <v>73</v>
      </c>
      <c r="C4" s="176" t="s">
        <v>74</v>
      </c>
      <c r="D4" s="177" t="s">
        <v>75</v>
      </c>
      <c r="E4" s="176" t="s">
        <v>76</v>
      </c>
      <c r="F4" s="176" t="s">
        <v>76</v>
      </c>
      <c r="G4" s="176" t="s">
        <v>76</v>
      </c>
      <c r="H4" s="176" t="s">
        <v>76</v>
      </c>
      <c r="I4" s="176" t="s">
        <v>76</v>
      </c>
      <c r="J4" s="176" t="s">
        <v>76</v>
      </c>
      <c r="K4" s="178" t="s">
        <v>76</v>
      </c>
      <c r="L4" s="178" t="s">
        <v>76</v>
      </c>
    </row>
    <row r="5" spans="1:12" ht="13.8">
      <c r="A5" s="179"/>
      <c r="B5" s="180" t="s">
        <v>77</v>
      </c>
      <c r="C5" s="181" t="s">
        <v>77</v>
      </c>
      <c r="D5" s="182" t="s">
        <v>77</v>
      </c>
      <c r="E5" s="181" t="s">
        <v>77</v>
      </c>
      <c r="F5" s="181" t="s">
        <v>77</v>
      </c>
      <c r="G5" s="181" t="s">
        <v>77</v>
      </c>
      <c r="H5" s="181" t="s">
        <v>77</v>
      </c>
      <c r="I5" s="181" t="s">
        <v>77</v>
      </c>
      <c r="J5" s="181" t="s">
        <v>77</v>
      </c>
      <c r="K5" s="183" t="s">
        <v>77</v>
      </c>
      <c r="L5" s="183" t="s">
        <v>77</v>
      </c>
    </row>
    <row r="6" spans="1:12" ht="13.8">
      <c r="A6" s="205" t="s">
        <v>78</v>
      </c>
      <c r="B6" s="158">
        <v>74275.7187255678</v>
      </c>
      <c r="C6" s="159">
        <v>2846.98</v>
      </c>
      <c r="D6" s="163">
        <v>39.268721999999997</v>
      </c>
      <c r="E6" s="213">
        <f>D6*$E$3</f>
        <v>50.519210852999997</v>
      </c>
      <c r="F6" s="156">
        <f>E6*$F$3</f>
        <v>52.034787178590001</v>
      </c>
      <c r="G6" s="213">
        <f>F6*$G$3</f>
        <v>53.075482922161804</v>
      </c>
      <c r="H6" s="156">
        <f>G6*$H$3</f>
        <v>54.402369995215842</v>
      </c>
      <c r="I6" s="213">
        <f>H6*$I$3</f>
        <v>55.490417395120161</v>
      </c>
      <c r="J6" s="156">
        <f>I6*$J$3</f>
        <v>56.600225743022563</v>
      </c>
      <c r="K6" s="212">
        <f>J6*$K$3</f>
        <v>57.732230257883018</v>
      </c>
      <c r="L6" s="162">
        <f>K6*$K$3</f>
        <v>58.886874863040681</v>
      </c>
    </row>
    <row r="7" spans="1:12" ht="13.8">
      <c r="A7" s="205" t="s">
        <v>79</v>
      </c>
      <c r="B7" s="158">
        <v>78315.397204927489</v>
      </c>
      <c r="C7" s="159">
        <v>3001.82</v>
      </c>
      <c r="D7" s="163">
        <v>41.404452999999997</v>
      </c>
      <c r="E7" s="213">
        <f t="shared" ref="E7:E61" si="0">D7*$E$3</f>
        <v>53.266828784499992</v>
      </c>
      <c r="F7" s="156">
        <f t="shared" ref="F7:F61" si="1">E7*$F$3</f>
        <v>54.864833648034995</v>
      </c>
      <c r="G7" s="213">
        <f t="shared" ref="G7:G61" si="2">F7*$G$3</f>
        <v>55.962130320995698</v>
      </c>
      <c r="H7" s="156">
        <f t="shared" ref="H7:H61" si="3">G7*$H$3</f>
        <v>57.361183579020583</v>
      </c>
      <c r="I7" s="213">
        <f t="shared" ref="I7:I61" si="4">H7*$I$3</f>
        <v>58.508407250600996</v>
      </c>
      <c r="J7" s="156">
        <f t="shared" ref="J7:J61" si="5">I7*$J$3</f>
        <v>59.678575395613016</v>
      </c>
      <c r="K7" s="212">
        <f t="shared" ref="K7:L61" si="6">J7*$K$3</f>
        <v>60.872146903525277</v>
      </c>
      <c r="L7" s="162">
        <f t="shared" si="6"/>
        <v>62.089589841595782</v>
      </c>
    </row>
    <row r="8" spans="1:12" ht="13.8">
      <c r="A8" s="205" t="s">
        <v>80</v>
      </c>
      <c r="B8" s="158">
        <v>82359.295259959312</v>
      </c>
      <c r="C8" s="159">
        <v>3156.83</v>
      </c>
      <c r="D8" s="163">
        <v>43.542416000000003</v>
      </c>
      <c r="E8" s="213">
        <f t="shared" si="0"/>
        <v>56.017318184000004</v>
      </c>
      <c r="F8" s="156">
        <f t="shared" si="1"/>
        <v>57.697837729520003</v>
      </c>
      <c r="G8" s="213">
        <f t="shared" si="2"/>
        <v>58.851794484110407</v>
      </c>
      <c r="H8" s="156">
        <f t="shared" si="3"/>
        <v>60.323089346213159</v>
      </c>
      <c r="I8" s="213">
        <f t="shared" si="4"/>
        <v>61.529551133137424</v>
      </c>
      <c r="J8" s="156">
        <f t="shared" si="5"/>
        <v>62.760142155800175</v>
      </c>
      <c r="K8" s="212">
        <f t="shared" si="6"/>
        <v>64.015344998916177</v>
      </c>
      <c r="L8" s="162">
        <f t="shared" si="6"/>
        <v>65.295651898894505</v>
      </c>
    </row>
    <row r="9" spans="1:12" ht="13.8">
      <c r="A9" s="205" t="s">
        <v>81</v>
      </c>
      <c r="B9" s="158">
        <v>86403.19331626418</v>
      </c>
      <c r="C9" s="159">
        <v>3311.83</v>
      </c>
      <c r="D9" s="163">
        <v>45.680377999999997</v>
      </c>
      <c r="E9" s="213">
        <f t="shared" si="0"/>
        <v>58.767806296999993</v>
      </c>
      <c r="F9" s="156">
        <f t="shared" si="1"/>
        <v>60.530840485909991</v>
      </c>
      <c r="G9" s="213">
        <f t="shared" si="2"/>
        <v>61.741457295628194</v>
      </c>
      <c r="H9" s="156">
        <f t="shared" si="3"/>
        <v>63.284993728018897</v>
      </c>
      <c r="I9" s="213">
        <f t="shared" si="4"/>
        <v>64.550693602579273</v>
      </c>
      <c r="J9" s="156">
        <f t="shared" si="5"/>
        <v>65.841707474630866</v>
      </c>
      <c r="K9" s="212">
        <f t="shared" si="6"/>
        <v>67.158541624123487</v>
      </c>
      <c r="L9" s="162">
        <f t="shared" si="6"/>
        <v>68.501712456605958</v>
      </c>
    </row>
    <row r="10" spans="1:12" ht="13.8">
      <c r="A10" s="205" t="s">
        <v>82</v>
      </c>
      <c r="B10" s="158">
        <v>89699.00240767996</v>
      </c>
      <c r="C10" s="159">
        <v>3438.16</v>
      </c>
      <c r="D10" s="163">
        <v>47.422834999999999</v>
      </c>
      <c r="E10" s="213">
        <f t="shared" si="0"/>
        <v>61.0094772275</v>
      </c>
      <c r="F10" s="156">
        <f t="shared" si="1"/>
        <v>62.839761544325</v>
      </c>
      <c r="G10" s="213">
        <f t="shared" si="2"/>
        <v>64.096556775211496</v>
      </c>
      <c r="H10" s="156">
        <f t="shared" si="3"/>
        <v>65.698970694591779</v>
      </c>
      <c r="I10" s="213">
        <f t="shared" si="4"/>
        <v>67.012950108483622</v>
      </c>
      <c r="J10" s="156">
        <f t="shared" si="5"/>
        <v>68.353209110653296</v>
      </c>
      <c r="K10" s="212">
        <f t="shared" si="6"/>
        <v>69.720273292866366</v>
      </c>
      <c r="L10" s="162">
        <f t="shared" si="6"/>
        <v>71.114678758723699</v>
      </c>
    </row>
    <row r="11" spans="1:12" ht="13.8">
      <c r="A11" s="205" t="s">
        <v>83</v>
      </c>
      <c r="B11" s="158">
        <v>93053.527180851568</v>
      </c>
      <c r="C11" s="159">
        <v>3566.73</v>
      </c>
      <c r="D11" s="163">
        <v>49.196334</v>
      </c>
      <c r="E11" s="213">
        <f t="shared" si="0"/>
        <v>63.291083690999997</v>
      </c>
      <c r="F11" s="156">
        <f t="shared" si="1"/>
        <v>65.189816201729997</v>
      </c>
      <c r="G11" s="213">
        <f t="shared" si="2"/>
        <v>66.493612525764604</v>
      </c>
      <c r="H11" s="156">
        <f t="shared" si="3"/>
        <v>68.155952838908718</v>
      </c>
      <c r="I11" s="213">
        <f t="shared" si="4"/>
        <v>69.519071895686892</v>
      </c>
      <c r="J11" s="156">
        <f t="shared" si="5"/>
        <v>70.909453333600638</v>
      </c>
      <c r="K11" s="212">
        <f t="shared" si="6"/>
        <v>72.327642400272651</v>
      </c>
      <c r="L11" s="162">
        <f t="shared" si="6"/>
        <v>73.774195248278104</v>
      </c>
    </row>
    <row r="12" spans="1:12" ht="13.8">
      <c r="A12" s="205" t="s">
        <v>84</v>
      </c>
      <c r="B12" s="158">
        <v>96473.299020592778</v>
      </c>
      <c r="C12" s="159">
        <v>3697.81</v>
      </c>
      <c r="D12" s="163">
        <v>51.004328000000001</v>
      </c>
      <c r="E12" s="213">
        <f t="shared" si="0"/>
        <v>65.617067972000001</v>
      </c>
      <c r="F12" s="156">
        <f t="shared" si="1"/>
        <v>67.585580011160005</v>
      </c>
      <c r="G12" s="213">
        <f t="shared" si="2"/>
        <v>68.937291611383202</v>
      </c>
      <c r="H12" s="156">
        <f t="shared" si="3"/>
        <v>70.66072390166778</v>
      </c>
      <c r="I12" s="213">
        <f t="shared" si="4"/>
        <v>72.073938379701133</v>
      </c>
      <c r="J12" s="156">
        <f t="shared" si="5"/>
        <v>73.515417147295153</v>
      </c>
      <c r="K12" s="212">
        <f t="shared" si="6"/>
        <v>74.985725490241052</v>
      </c>
      <c r="L12" s="162">
        <f t="shared" si="6"/>
        <v>76.48544000004587</v>
      </c>
    </row>
    <row r="13" spans="1:12" ht="13.8">
      <c r="A13" s="205" t="s">
        <v>85</v>
      </c>
      <c r="B13" s="158">
        <v>99884.309449892869</v>
      </c>
      <c r="C13" s="159">
        <v>3828.56</v>
      </c>
      <c r="D13" s="163">
        <v>52.807690000000001</v>
      </c>
      <c r="E13" s="213">
        <f t="shared" si="0"/>
        <v>67.937093184999995</v>
      </c>
      <c r="F13" s="156">
        <f t="shared" si="1"/>
        <v>69.975205980550001</v>
      </c>
      <c r="G13" s="213">
        <f t="shared" si="2"/>
        <v>71.374710100160996</v>
      </c>
      <c r="H13" s="156">
        <f t="shared" si="3"/>
        <v>73.159077852665021</v>
      </c>
      <c r="I13" s="213">
        <f t="shared" si="4"/>
        <v>74.622259409718325</v>
      </c>
      <c r="J13" s="156">
        <f t="shared" si="5"/>
        <v>76.114704597912691</v>
      </c>
      <c r="K13" s="212">
        <f t="shared" si="6"/>
        <v>77.63699868987095</v>
      </c>
      <c r="L13" s="162">
        <f t="shared" si="6"/>
        <v>79.189738663668365</v>
      </c>
    </row>
    <row r="14" spans="1:12" ht="13.8">
      <c r="A14" s="205" t="s">
        <v>86</v>
      </c>
      <c r="B14" s="158">
        <v>105144.48237192533</v>
      </c>
      <c r="C14" s="159">
        <v>4030.18</v>
      </c>
      <c r="D14" s="163">
        <v>55.588683000000003</v>
      </c>
      <c r="E14" s="213">
        <f t="shared" si="0"/>
        <v>71.514840679499997</v>
      </c>
      <c r="F14" s="156">
        <f t="shared" si="1"/>
        <v>73.660285899884997</v>
      </c>
      <c r="G14" s="213">
        <f t="shared" si="2"/>
        <v>75.133491617882697</v>
      </c>
      <c r="H14" s="156">
        <f t="shared" si="3"/>
        <v>77.011828908329761</v>
      </c>
      <c r="I14" s="213">
        <f t="shared" si="4"/>
        <v>78.55206548649636</v>
      </c>
      <c r="J14" s="156">
        <f t="shared" si="5"/>
        <v>80.123106796226296</v>
      </c>
      <c r="K14" s="212">
        <f t="shared" si="6"/>
        <v>81.725568932150821</v>
      </c>
      <c r="L14" s="162">
        <f t="shared" si="6"/>
        <v>83.360080310793833</v>
      </c>
    </row>
    <row r="15" spans="1:12" ht="13.8">
      <c r="A15" s="205" t="s">
        <v>87</v>
      </c>
      <c r="B15" s="158">
        <v>109090.72358618872</v>
      </c>
      <c r="C15" s="159">
        <v>4181.4399999999996</v>
      </c>
      <c r="D15" s="163">
        <v>57.675015999999999</v>
      </c>
      <c r="E15" s="213">
        <f t="shared" si="0"/>
        <v>74.198908083999996</v>
      </c>
      <c r="F15" s="156">
        <f t="shared" si="1"/>
        <v>76.424875326519995</v>
      </c>
      <c r="G15" s="213">
        <f t="shared" si="2"/>
        <v>77.953372833050395</v>
      </c>
      <c r="H15" s="156">
        <f t="shared" si="3"/>
        <v>79.902207153876645</v>
      </c>
      <c r="I15" s="213">
        <f t="shared" si="4"/>
        <v>81.500251296954175</v>
      </c>
      <c r="J15" s="156">
        <f t="shared" si="5"/>
        <v>83.13025632289326</v>
      </c>
      <c r="K15" s="212">
        <f t="shared" si="6"/>
        <v>84.792861449351122</v>
      </c>
      <c r="L15" s="162">
        <f t="shared" si="6"/>
        <v>86.488718678338145</v>
      </c>
    </row>
    <row r="16" spans="1:12" ht="13.8">
      <c r="A16" s="205" t="s">
        <v>88</v>
      </c>
      <c r="B16" s="158">
        <v>113030.38907003537</v>
      </c>
      <c r="C16" s="159">
        <v>4332.45</v>
      </c>
      <c r="D16" s="163">
        <v>59.757871999999999</v>
      </c>
      <c r="E16" s="213">
        <f t="shared" si="0"/>
        <v>76.878502327999996</v>
      </c>
      <c r="F16" s="156">
        <f t="shared" si="1"/>
        <v>79.184857397839991</v>
      </c>
      <c r="G16" s="213">
        <f t="shared" si="2"/>
        <v>80.768554545796789</v>
      </c>
      <c r="H16" s="156">
        <f t="shared" si="3"/>
        <v>82.787768409441696</v>
      </c>
      <c r="I16" s="213">
        <f t="shared" si="4"/>
        <v>84.443523777630531</v>
      </c>
      <c r="J16" s="156">
        <f t="shared" si="5"/>
        <v>86.132394253183151</v>
      </c>
      <c r="K16" s="212">
        <f t="shared" si="6"/>
        <v>87.855042138246816</v>
      </c>
      <c r="L16" s="162">
        <f t="shared" si="6"/>
        <v>89.612142981011758</v>
      </c>
    </row>
    <row r="17" spans="1:12" ht="13.8">
      <c r="A17" s="205" t="s">
        <v>89</v>
      </c>
      <c r="B17" s="158">
        <v>116974.42592055388</v>
      </c>
      <c r="C17" s="159">
        <v>4483.62</v>
      </c>
      <c r="D17" s="163">
        <v>61.843038999999997</v>
      </c>
      <c r="E17" s="213">
        <f t="shared" si="0"/>
        <v>79.5610696735</v>
      </c>
      <c r="F17" s="156">
        <f t="shared" si="1"/>
        <v>81.947901763705005</v>
      </c>
      <c r="G17" s="213">
        <f t="shared" si="2"/>
        <v>83.586859798979106</v>
      </c>
      <c r="H17" s="156">
        <f t="shared" si="3"/>
        <v>85.676531293953573</v>
      </c>
      <c r="I17" s="213">
        <f t="shared" si="4"/>
        <v>87.390061919832647</v>
      </c>
      <c r="J17" s="156">
        <f t="shared" si="5"/>
        <v>89.137863158229308</v>
      </c>
      <c r="K17" s="212">
        <f t="shared" si="6"/>
        <v>90.920620421393892</v>
      </c>
      <c r="L17" s="162">
        <f t="shared" si="6"/>
        <v>92.739032829821767</v>
      </c>
    </row>
    <row r="18" spans="1:12" ht="13.8">
      <c r="A18" s="205" t="s">
        <v>90</v>
      </c>
      <c r="B18" s="158">
        <v>120916.27708839887</v>
      </c>
      <c r="C18" s="159">
        <v>4634.71</v>
      </c>
      <c r="D18" s="163">
        <v>63.927050000000001</v>
      </c>
      <c r="E18" s="213">
        <f t="shared" si="0"/>
        <v>82.242149824999998</v>
      </c>
      <c r="F18" s="156">
        <f t="shared" si="1"/>
        <v>84.709414319749996</v>
      </c>
      <c r="G18" s="213">
        <f t="shared" si="2"/>
        <v>86.403602606145</v>
      </c>
      <c r="H18" s="156">
        <f t="shared" si="3"/>
        <v>88.563692671298611</v>
      </c>
      <c r="I18" s="213">
        <f t="shared" si="4"/>
        <v>90.334966524724578</v>
      </c>
      <c r="J18" s="156">
        <f t="shared" si="5"/>
        <v>92.141665855219074</v>
      </c>
      <c r="K18" s="212">
        <f t="shared" si="6"/>
        <v>93.984499172323453</v>
      </c>
      <c r="L18" s="162">
        <f t="shared" si="6"/>
        <v>95.864189155769921</v>
      </c>
    </row>
    <row r="19" spans="1:12" ht="13.8">
      <c r="A19" s="205" t="s">
        <v>91</v>
      </c>
      <c r="B19" s="158">
        <v>124862.51830266231</v>
      </c>
      <c r="C19" s="159">
        <v>4785.97</v>
      </c>
      <c r="D19" s="163">
        <v>66.013383000000005</v>
      </c>
      <c r="E19" s="213">
        <f t="shared" si="0"/>
        <v>84.926217229500011</v>
      </c>
      <c r="F19" s="156">
        <f t="shared" si="1"/>
        <v>87.474003746385009</v>
      </c>
      <c r="G19" s="213">
        <f t="shared" si="2"/>
        <v>89.223483821312712</v>
      </c>
      <c r="H19" s="156">
        <f t="shared" si="3"/>
        <v>91.454070916845524</v>
      </c>
      <c r="I19" s="213">
        <f t="shared" si="4"/>
        <v>93.283152335182436</v>
      </c>
      <c r="J19" s="156">
        <f t="shared" si="5"/>
        <v>95.148815381886081</v>
      </c>
      <c r="K19" s="212">
        <f t="shared" si="6"/>
        <v>97.05179168952381</v>
      </c>
      <c r="L19" s="162">
        <f t="shared" si="6"/>
        <v>98.99282752331429</v>
      </c>
    </row>
    <row r="20" spans="1:12" ht="13.8">
      <c r="A20" s="205" t="s">
        <v>92</v>
      </c>
      <c r="B20" s="158">
        <v>128802.16510676238</v>
      </c>
      <c r="C20" s="159">
        <v>4936.9799999999996</v>
      </c>
      <c r="D20" s="163">
        <v>68.096228999999994</v>
      </c>
      <c r="E20" s="213">
        <f t="shared" si="0"/>
        <v>87.605798608499995</v>
      </c>
      <c r="F20" s="156">
        <f t="shared" si="1"/>
        <v>90.233972566755</v>
      </c>
      <c r="G20" s="213">
        <f t="shared" si="2"/>
        <v>92.038652018090104</v>
      </c>
      <c r="H20" s="156">
        <f t="shared" si="3"/>
        <v>94.33961831854235</v>
      </c>
      <c r="I20" s="213">
        <f t="shared" si="4"/>
        <v>96.226410684913205</v>
      </c>
      <c r="J20" s="156">
        <f t="shared" si="5"/>
        <v>98.150938898611471</v>
      </c>
      <c r="K20" s="212">
        <f t="shared" si="6"/>
        <v>100.11395767658371</v>
      </c>
      <c r="L20" s="162">
        <f t="shared" si="6"/>
        <v>102.11623683011538</v>
      </c>
    </row>
    <row r="21" spans="1:12" ht="13.8">
      <c r="A21" s="205" t="s">
        <v>93</v>
      </c>
      <c r="B21" s="158">
        <v>132746.20195728101</v>
      </c>
      <c r="C21" s="159">
        <v>5088.1499999999996</v>
      </c>
      <c r="D21" s="163">
        <v>70.181396000000007</v>
      </c>
      <c r="E21" s="213">
        <f t="shared" si="0"/>
        <v>90.288365954000014</v>
      </c>
      <c r="F21" s="156">
        <f t="shared" si="1"/>
        <v>92.997016932620014</v>
      </c>
      <c r="G21" s="213">
        <f t="shared" si="2"/>
        <v>94.856957271272421</v>
      </c>
      <c r="H21" s="156">
        <f t="shared" si="3"/>
        <v>97.228381203054226</v>
      </c>
      <c r="I21" s="213">
        <f t="shared" si="4"/>
        <v>99.172948827115306</v>
      </c>
      <c r="J21" s="156">
        <f t="shared" si="5"/>
        <v>101.15640780365761</v>
      </c>
      <c r="K21" s="212">
        <f t="shared" si="6"/>
        <v>103.17953595973077</v>
      </c>
      <c r="L21" s="162">
        <f t="shared" si="6"/>
        <v>105.24312667892539</v>
      </c>
    </row>
    <row r="22" spans="1:12" ht="13.8">
      <c r="A22" s="205" t="s">
        <v>94</v>
      </c>
      <c r="B22" s="158">
        <v>136690.23880647504</v>
      </c>
      <c r="C22" s="159">
        <v>5239.33</v>
      </c>
      <c r="D22" s="163">
        <v>72.266563000000005</v>
      </c>
      <c r="E22" s="213">
        <f t="shared" si="0"/>
        <v>92.970933299500004</v>
      </c>
      <c r="F22" s="156">
        <f t="shared" si="1"/>
        <v>95.760061298485013</v>
      </c>
      <c r="G22" s="213">
        <f t="shared" si="2"/>
        <v>97.675262524454709</v>
      </c>
      <c r="H22" s="156">
        <f t="shared" si="3"/>
        <v>100.11714408756607</v>
      </c>
      <c r="I22" s="213">
        <f t="shared" si="4"/>
        <v>102.11948696931739</v>
      </c>
      <c r="J22" s="156">
        <f t="shared" si="5"/>
        <v>104.16187670870374</v>
      </c>
      <c r="K22" s="212">
        <f t="shared" si="6"/>
        <v>106.24511424287782</v>
      </c>
      <c r="L22" s="162">
        <f t="shared" si="6"/>
        <v>108.37001652773537</v>
      </c>
    </row>
    <row r="23" spans="1:12" ht="13.8">
      <c r="A23" s="205" t="s">
        <v>95</v>
      </c>
      <c r="B23" s="158">
        <v>140632.10865539053</v>
      </c>
      <c r="C23" s="159">
        <v>5390.42</v>
      </c>
      <c r="D23" s="163">
        <v>74.350584999999995</v>
      </c>
      <c r="E23" s="213">
        <f t="shared" si="0"/>
        <v>95.652027602499999</v>
      </c>
      <c r="F23" s="156">
        <f t="shared" si="1"/>
        <v>98.521588430575008</v>
      </c>
      <c r="G23" s="213">
        <f t="shared" si="2"/>
        <v>100.49202019918651</v>
      </c>
      <c r="H23" s="156">
        <f t="shared" si="3"/>
        <v>103.00432070416616</v>
      </c>
      <c r="I23" s="213">
        <f t="shared" si="4"/>
        <v>105.06440711824949</v>
      </c>
      <c r="J23" s="156">
        <f t="shared" si="5"/>
        <v>107.16569526061448</v>
      </c>
      <c r="K23" s="212">
        <f t="shared" si="6"/>
        <v>109.30900916582678</v>
      </c>
      <c r="L23" s="162">
        <f t="shared" si="6"/>
        <v>111.49518934914332</v>
      </c>
    </row>
    <row r="24" spans="1:12" ht="13.8">
      <c r="A24" s="205" t="s">
        <v>96</v>
      </c>
      <c r="B24" s="158">
        <v>144571.75545949116</v>
      </c>
      <c r="C24" s="159">
        <v>5541.42</v>
      </c>
      <c r="D24" s="163">
        <v>76.433430999999999</v>
      </c>
      <c r="E24" s="213">
        <f t="shared" si="0"/>
        <v>98.331608981499997</v>
      </c>
      <c r="F24" s="156">
        <f t="shared" si="1"/>
        <v>101.281557250945</v>
      </c>
      <c r="G24" s="213">
        <f t="shared" si="2"/>
        <v>103.30718839596391</v>
      </c>
      <c r="H24" s="156">
        <f t="shared" si="3"/>
        <v>105.88986810586299</v>
      </c>
      <c r="I24" s="213">
        <f t="shared" si="4"/>
        <v>108.00766546798025</v>
      </c>
      <c r="J24" s="156">
        <f t="shared" si="5"/>
        <v>110.16781877733985</v>
      </c>
      <c r="K24" s="212">
        <f t="shared" si="6"/>
        <v>112.37117515288665</v>
      </c>
      <c r="L24" s="162">
        <f t="shared" si="6"/>
        <v>114.61859865594438</v>
      </c>
    </row>
    <row r="25" spans="1:12" ht="13.8">
      <c r="A25" s="205" t="s">
        <v>65</v>
      </c>
      <c r="B25" s="158">
        <v>148520.18235642841</v>
      </c>
      <c r="C25" s="159">
        <v>5692.77</v>
      </c>
      <c r="D25" s="163">
        <v>78.520919000000006</v>
      </c>
      <c r="E25" s="213">
        <f t="shared" si="0"/>
        <v>101.01716229350001</v>
      </c>
      <c r="F25" s="156">
        <f t="shared" si="1"/>
        <v>104.04767716230501</v>
      </c>
      <c r="G25" s="213">
        <f t="shared" si="2"/>
        <v>106.1286307055511</v>
      </c>
      <c r="H25" s="156">
        <f t="shared" si="3"/>
        <v>108.78184647318987</v>
      </c>
      <c r="I25" s="213">
        <f t="shared" si="4"/>
        <v>110.95748340265368</v>
      </c>
      <c r="J25" s="156">
        <f t="shared" si="5"/>
        <v>113.17663307070676</v>
      </c>
      <c r="K25" s="212">
        <f t="shared" si="6"/>
        <v>115.44016573212089</v>
      </c>
      <c r="L25" s="162">
        <f t="shared" si="6"/>
        <v>117.74896904676331</v>
      </c>
    </row>
    <row r="26" spans="1:12" ht="13.8">
      <c r="A26" s="205" t="s">
        <v>97</v>
      </c>
      <c r="B26" s="158">
        <v>155087.74861927968</v>
      </c>
      <c r="C26" s="159">
        <v>5944.5</v>
      </c>
      <c r="D26" s="163">
        <v>81.993116000000001</v>
      </c>
      <c r="E26" s="213">
        <f t="shared" si="0"/>
        <v>105.484143734</v>
      </c>
      <c r="F26" s="156">
        <f t="shared" si="1"/>
        <v>108.64866804602001</v>
      </c>
      <c r="G26" s="213">
        <f t="shared" si="2"/>
        <v>110.82164140694042</v>
      </c>
      <c r="H26" s="156">
        <f t="shared" si="3"/>
        <v>113.59218244211391</v>
      </c>
      <c r="I26" s="213">
        <f t="shared" si="4"/>
        <v>115.86402609095619</v>
      </c>
      <c r="J26" s="156">
        <f t="shared" si="5"/>
        <v>118.18130661277532</v>
      </c>
      <c r="K26" s="212">
        <f t="shared" si="6"/>
        <v>120.54493274503082</v>
      </c>
      <c r="L26" s="162">
        <f t="shared" si="6"/>
        <v>122.95583139993144</v>
      </c>
    </row>
    <row r="27" spans="1:12" ht="13.8">
      <c r="A27" s="205" t="s">
        <v>98</v>
      </c>
      <c r="B27" s="158">
        <v>160345.71717756693</v>
      </c>
      <c r="C27" s="159">
        <v>6146.04</v>
      </c>
      <c r="D27" s="163">
        <v>84.772943999999995</v>
      </c>
      <c r="E27" s="213">
        <f t="shared" si="0"/>
        <v>109.06039245599999</v>
      </c>
      <c r="F27" s="156">
        <f t="shared" si="1"/>
        <v>112.33220422967999</v>
      </c>
      <c r="G27" s="213">
        <f t="shared" si="2"/>
        <v>114.57884831427359</v>
      </c>
      <c r="H27" s="156">
        <f t="shared" si="3"/>
        <v>117.44331952213041</v>
      </c>
      <c r="I27" s="213">
        <f t="shared" si="4"/>
        <v>119.79218591257302</v>
      </c>
      <c r="J27" s="156">
        <f t="shared" si="5"/>
        <v>122.18802963082447</v>
      </c>
      <c r="K27" s="212">
        <f t="shared" si="6"/>
        <v>124.63179022344096</v>
      </c>
      <c r="L27" s="162">
        <f t="shared" si="6"/>
        <v>127.12442602790978</v>
      </c>
    </row>
    <row r="28" spans="1:12" ht="13.8">
      <c r="A28" s="205" t="s">
        <v>99</v>
      </c>
      <c r="B28" s="158">
        <v>165601.51873292745</v>
      </c>
      <c r="C28" s="159">
        <v>6347.49</v>
      </c>
      <c r="D28" s="163">
        <v>87.551625999999999</v>
      </c>
      <c r="E28" s="213">
        <f t="shared" si="0"/>
        <v>112.635166849</v>
      </c>
      <c r="F28" s="156">
        <f t="shared" si="1"/>
        <v>116.01422185447001</v>
      </c>
      <c r="G28" s="213">
        <f t="shared" si="2"/>
        <v>118.33450629155941</v>
      </c>
      <c r="H28" s="156">
        <f t="shared" si="3"/>
        <v>121.29286894884838</v>
      </c>
      <c r="I28" s="213">
        <f t="shared" si="4"/>
        <v>123.71872632782535</v>
      </c>
      <c r="J28" s="156">
        <f t="shared" si="5"/>
        <v>126.19310085438185</v>
      </c>
      <c r="K28" s="212">
        <f t="shared" si="6"/>
        <v>128.71696287146949</v>
      </c>
      <c r="L28" s="162">
        <f t="shared" si="6"/>
        <v>131.29130212889888</v>
      </c>
    </row>
    <row r="29" spans="1:12" ht="13.8">
      <c r="A29" s="205" t="s">
        <v>100</v>
      </c>
      <c r="B29" s="158">
        <v>170859.52465468278</v>
      </c>
      <c r="C29" s="159">
        <v>6549.03</v>
      </c>
      <c r="D29" s="163">
        <v>90.331473000000003</v>
      </c>
      <c r="E29" s="213">
        <f t="shared" si="0"/>
        <v>116.2114400145</v>
      </c>
      <c r="F29" s="156">
        <f t="shared" si="1"/>
        <v>119.697783214935</v>
      </c>
      <c r="G29" s="213">
        <f t="shared" si="2"/>
        <v>122.0917388792337</v>
      </c>
      <c r="H29" s="156">
        <f t="shared" si="3"/>
        <v>125.14403235121453</v>
      </c>
      <c r="I29" s="213">
        <f t="shared" si="4"/>
        <v>127.64691299823883</v>
      </c>
      <c r="J29" s="156">
        <f t="shared" si="5"/>
        <v>130.19985125820361</v>
      </c>
      <c r="K29" s="212">
        <f t="shared" si="6"/>
        <v>132.80384828336767</v>
      </c>
      <c r="L29" s="162">
        <f t="shared" si="6"/>
        <v>135.45992524903502</v>
      </c>
    </row>
    <row r="30" spans="1:12" ht="13.8">
      <c r="A30" s="205" t="s">
        <v>101</v>
      </c>
      <c r="B30" s="158">
        <v>199775.19462887794</v>
      </c>
      <c r="C30" s="159">
        <v>7657.37</v>
      </c>
      <c r="D30" s="163">
        <v>105.61885700000001</v>
      </c>
      <c r="E30" s="213">
        <f t="shared" si="0"/>
        <v>135.87865953050002</v>
      </c>
      <c r="F30" s="156">
        <f t="shared" si="1"/>
        <v>139.95501931641502</v>
      </c>
      <c r="G30" s="213">
        <f t="shared" si="2"/>
        <v>142.75411970274331</v>
      </c>
      <c r="H30" s="156">
        <f t="shared" si="3"/>
        <v>146.32297269531188</v>
      </c>
      <c r="I30" s="213">
        <f t="shared" si="4"/>
        <v>149.24943214921811</v>
      </c>
      <c r="J30" s="156">
        <f t="shared" si="5"/>
        <v>152.23442079220249</v>
      </c>
      <c r="K30" s="212">
        <f t="shared" si="6"/>
        <v>155.27910920804655</v>
      </c>
      <c r="L30" s="162">
        <f t="shared" si="6"/>
        <v>158.38469139220749</v>
      </c>
    </row>
    <row r="31" spans="1:12" ht="13.8">
      <c r="A31" s="206" t="s">
        <v>102</v>
      </c>
      <c r="B31" s="160">
        <v>54043.571872962064</v>
      </c>
      <c r="C31" s="159">
        <v>2071.485754798985</v>
      </c>
      <c r="D31" s="163">
        <v>28.572217307572206</v>
      </c>
      <c r="E31" s="208">
        <f t="shared" si="0"/>
        <v>36.758157566191642</v>
      </c>
      <c r="F31" s="156">
        <f t="shared" si="1"/>
        <v>37.860902293177389</v>
      </c>
      <c r="G31" s="208">
        <f t="shared" si="2"/>
        <v>38.618120339040935</v>
      </c>
      <c r="H31" s="156">
        <f t="shared" si="3"/>
        <v>39.583573347516953</v>
      </c>
      <c r="I31" s="208">
        <f t="shared" si="4"/>
        <v>40.375244814467294</v>
      </c>
      <c r="J31" s="156">
        <f t="shared" si="5"/>
        <v>41.182749710756639</v>
      </c>
      <c r="K31" s="210">
        <f t="shared" si="6"/>
        <v>42.006404704971771</v>
      </c>
      <c r="L31" s="162">
        <f t="shared" si="6"/>
        <v>42.846532799071205</v>
      </c>
    </row>
    <row r="32" spans="1:12" ht="13.8">
      <c r="A32" s="206" t="s">
        <v>103</v>
      </c>
      <c r="B32" s="160">
        <v>55264.338681285044</v>
      </c>
      <c r="C32" s="159">
        <v>2118.2776481867281</v>
      </c>
      <c r="D32" s="163">
        <v>29.217622733610042</v>
      </c>
      <c r="E32" s="208">
        <f t="shared" si="0"/>
        <v>37.588471646789316</v>
      </c>
      <c r="F32" s="156">
        <f t="shared" si="1"/>
        <v>38.716125796192998</v>
      </c>
      <c r="G32" s="208">
        <f t="shared" si="2"/>
        <v>39.490448312116861</v>
      </c>
      <c r="H32" s="156">
        <f t="shared" si="3"/>
        <v>40.477709519919777</v>
      </c>
      <c r="I32" s="208">
        <f t="shared" si="4"/>
        <v>41.287263710318172</v>
      </c>
      <c r="J32" s="156">
        <f t="shared" si="5"/>
        <v>42.113008984524534</v>
      </c>
      <c r="K32" s="210">
        <f t="shared" si="6"/>
        <v>42.955269164215025</v>
      </c>
      <c r="L32" s="162">
        <f t="shared" si="6"/>
        <v>43.814374547499327</v>
      </c>
    </row>
    <row r="33" spans="1:12" ht="13.8">
      <c r="A33" s="206" t="s">
        <v>104</v>
      </c>
      <c r="B33" s="160">
        <v>56489.307110030408</v>
      </c>
      <c r="C33" s="159">
        <v>2165.2305893466746</v>
      </c>
      <c r="D33" s="163">
        <v>29.865249508229994</v>
      </c>
      <c r="E33" s="208">
        <f t="shared" si="0"/>
        <v>38.421643492337886</v>
      </c>
      <c r="F33" s="156">
        <f t="shared" si="1"/>
        <v>39.574292797108022</v>
      </c>
      <c r="G33" s="208">
        <f t="shared" si="2"/>
        <v>40.365778653050185</v>
      </c>
      <c r="H33" s="156">
        <f t="shared" si="3"/>
        <v>41.374923119376433</v>
      </c>
      <c r="I33" s="208">
        <f t="shared" si="4"/>
        <v>42.202421581763964</v>
      </c>
      <c r="J33" s="156">
        <f t="shared" si="5"/>
        <v>43.046470013399244</v>
      </c>
      <c r="K33" s="210">
        <f t="shared" si="6"/>
        <v>43.907399413667228</v>
      </c>
      <c r="L33" s="162">
        <f t="shared" si="6"/>
        <v>44.785547401940576</v>
      </c>
    </row>
    <row r="34" spans="1:12" ht="13.8">
      <c r="A34" s="206" t="s">
        <v>105</v>
      </c>
      <c r="B34" s="160">
        <v>57697.431709349104</v>
      </c>
      <c r="C34" s="159">
        <v>2211.5379078820538</v>
      </c>
      <c r="D34" s="163">
        <v>30.503971143200744</v>
      </c>
      <c r="E34" s="208">
        <f t="shared" si="0"/>
        <v>39.243358875727758</v>
      </c>
      <c r="F34" s="156">
        <f t="shared" si="1"/>
        <v>40.420659641999592</v>
      </c>
      <c r="G34" s="208">
        <f t="shared" si="2"/>
        <v>41.229072834839585</v>
      </c>
      <c r="H34" s="156">
        <f t="shared" si="3"/>
        <v>42.259799655710573</v>
      </c>
      <c r="I34" s="208">
        <f t="shared" si="4"/>
        <v>43.104995648824783</v>
      </c>
      <c r="J34" s="156">
        <f t="shared" si="5"/>
        <v>43.96709556180128</v>
      </c>
      <c r="K34" s="210">
        <f t="shared" si="6"/>
        <v>44.846437473037305</v>
      </c>
      <c r="L34" s="162">
        <f t="shared" si="6"/>
        <v>45.743366222498054</v>
      </c>
    </row>
    <row r="35" spans="1:12" ht="13.8">
      <c r="A35" s="206" t="s">
        <v>106</v>
      </c>
      <c r="B35" s="160">
        <v>58996.2</v>
      </c>
      <c r="C35" s="159">
        <v>2261.3195636897649</v>
      </c>
      <c r="D35" s="163">
        <v>31.190614671582964</v>
      </c>
      <c r="E35" s="208">
        <f t="shared" si="0"/>
        <v>40.126725774991485</v>
      </c>
      <c r="F35" s="156">
        <f t="shared" si="1"/>
        <v>41.330527548241228</v>
      </c>
      <c r="G35" s="208">
        <f t="shared" si="2"/>
        <v>42.157138099206051</v>
      </c>
      <c r="H35" s="156">
        <f t="shared" si="3"/>
        <v>43.211066551686201</v>
      </c>
      <c r="I35" s="208">
        <f t="shared" si="4"/>
        <v>44.075287882719927</v>
      </c>
      <c r="J35" s="156">
        <f t="shared" si="5"/>
        <v>44.956793640374329</v>
      </c>
      <c r="K35" s="210">
        <f t="shared" si="6"/>
        <v>45.855929513181813</v>
      </c>
      <c r="L35" s="162">
        <f t="shared" si="6"/>
        <v>46.773048103445447</v>
      </c>
    </row>
    <row r="36" spans="1:12" ht="13.8">
      <c r="A36" s="206" t="s">
        <v>107</v>
      </c>
      <c r="B36" s="160">
        <v>60303.407412392968</v>
      </c>
      <c r="C36" s="159">
        <v>2311.4247465776352</v>
      </c>
      <c r="D36" s="163">
        <v>31.881720642450141</v>
      </c>
      <c r="E36" s="208">
        <f t="shared" si="0"/>
        <v>41.015833606512103</v>
      </c>
      <c r="F36" s="156">
        <f t="shared" si="1"/>
        <v>42.246308614707466</v>
      </c>
      <c r="G36" s="208">
        <f t="shared" si="2"/>
        <v>43.091234787001618</v>
      </c>
      <c r="H36" s="156">
        <f t="shared" si="3"/>
        <v>44.168515656676654</v>
      </c>
      <c r="I36" s="208">
        <f t="shared" si="4"/>
        <v>45.051885969810186</v>
      </c>
      <c r="J36" s="156">
        <f t="shared" si="5"/>
        <v>45.952923689206393</v>
      </c>
      <c r="K36" s="210">
        <f t="shared" si="6"/>
        <v>46.87198216299052</v>
      </c>
      <c r="L36" s="162">
        <f t="shared" si="6"/>
        <v>47.809421806250334</v>
      </c>
    </row>
    <row r="37" spans="1:12" ht="13.8">
      <c r="A37" s="206" t="s">
        <v>108</v>
      </c>
      <c r="B37" s="160">
        <v>61863.609129239099</v>
      </c>
      <c r="C37" s="159">
        <v>2371.2271526557693</v>
      </c>
      <c r="D37" s="163">
        <v>32.706581415941642</v>
      </c>
      <c r="E37" s="208">
        <f t="shared" si="0"/>
        <v>42.077016991608922</v>
      </c>
      <c r="F37" s="156">
        <f t="shared" si="1"/>
        <v>43.339327501357189</v>
      </c>
      <c r="G37" s="208">
        <f t="shared" si="2"/>
        <v>44.206114051384333</v>
      </c>
      <c r="H37" s="156">
        <f t="shared" si="3"/>
        <v>45.31126690266894</v>
      </c>
      <c r="I37" s="208">
        <f t="shared" si="4"/>
        <v>46.217492240722322</v>
      </c>
      <c r="J37" s="156">
        <f t="shared" si="5"/>
        <v>47.141842085536773</v>
      </c>
      <c r="K37" s="210">
        <f t="shared" si="6"/>
        <v>48.084678927247509</v>
      </c>
      <c r="L37" s="162">
        <f t="shared" si="6"/>
        <v>49.046372505792462</v>
      </c>
    </row>
    <row r="38" spans="1:12" ht="13.8">
      <c r="A38" s="206" t="s">
        <v>109</v>
      </c>
      <c r="B38" s="160">
        <v>63425.920993230706</v>
      </c>
      <c r="C38" s="159">
        <v>2431.1104405039428</v>
      </c>
      <c r="D38" s="163">
        <v>33.532557800054384</v>
      </c>
      <c r="E38" s="208">
        <f t="shared" si="0"/>
        <v>43.139635609769968</v>
      </c>
      <c r="F38" s="156">
        <f t="shared" si="1"/>
        <v>44.433824678063068</v>
      </c>
      <c r="G38" s="208">
        <f t="shared" si="2"/>
        <v>45.322501171624332</v>
      </c>
      <c r="H38" s="156">
        <f t="shared" si="3"/>
        <v>46.455563700914936</v>
      </c>
      <c r="I38" s="208">
        <f t="shared" si="4"/>
        <v>47.384674974933233</v>
      </c>
      <c r="J38" s="156">
        <f t="shared" si="5"/>
        <v>48.332368474431895</v>
      </c>
      <c r="K38" s="210">
        <f t="shared" si="6"/>
        <v>49.299015843920536</v>
      </c>
      <c r="L38" s="162">
        <f t="shared" si="6"/>
        <v>50.284996160798947</v>
      </c>
    </row>
    <row r="39" spans="1:12" ht="13.8">
      <c r="A39" s="206" t="s">
        <v>110</v>
      </c>
      <c r="B39" s="160">
        <v>65003.003887240586</v>
      </c>
      <c r="C39" s="159">
        <v>2491.5599007423966</v>
      </c>
      <c r="D39" s="163">
        <v>34.366343458515814</v>
      </c>
      <c r="E39" s="208">
        <f t="shared" si="0"/>
        <v>44.212300859380598</v>
      </c>
      <c r="F39" s="156">
        <f t="shared" si="1"/>
        <v>45.538669885162015</v>
      </c>
      <c r="G39" s="208">
        <f t="shared" si="2"/>
        <v>46.449443282865253</v>
      </c>
      <c r="H39" s="156">
        <f t="shared" si="3"/>
        <v>47.610679364936878</v>
      </c>
      <c r="I39" s="208">
        <f t="shared" si="4"/>
        <v>48.562892952235615</v>
      </c>
      <c r="J39" s="156">
        <f t="shared" si="5"/>
        <v>49.534150811280327</v>
      </c>
      <c r="K39" s="210">
        <f t="shared" si="6"/>
        <v>50.524833827505937</v>
      </c>
      <c r="L39" s="162">
        <f t="shared" si="6"/>
        <v>51.535330504056056</v>
      </c>
    </row>
    <row r="40" spans="1:12" ht="13.8">
      <c r="A40" s="206" t="s">
        <v>111</v>
      </c>
      <c r="B40" s="160">
        <v>66660.197677303979</v>
      </c>
      <c r="C40" s="159">
        <v>2555.0800051708588</v>
      </c>
      <c r="D40" s="163">
        <v>35.24248282994288</v>
      </c>
      <c r="E40" s="208">
        <f t="shared" si="0"/>
        <v>45.339454160721516</v>
      </c>
      <c r="F40" s="156">
        <f t="shared" si="1"/>
        <v>46.69963778554316</v>
      </c>
      <c r="G40" s="208">
        <f t="shared" si="2"/>
        <v>47.633630541254021</v>
      </c>
      <c r="H40" s="156">
        <f t="shared" si="3"/>
        <v>48.824471304785369</v>
      </c>
      <c r="I40" s="208">
        <f t="shared" si="4"/>
        <v>49.80096073088108</v>
      </c>
      <c r="J40" s="156">
        <f t="shared" si="5"/>
        <v>50.796979945498705</v>
      </c>
      <c r="K40" s="210">
        <f t="shared" si="6"/>
        <v>51.812919544408679</v>
      </c>
      <c r="L40" s="162">
        <f t="shared" si="6"/>
        <v>52.849177935296851</v>
      </c>
    </row>
    <row r="41" spans="1:12" ht="13.8">
      <c r="A41" s="206" t="s">
        <v>112</v>
      </c>
      <c r="B41" s="160">
        <v>68367.997651121404</v>
      </c>
      <c r="C41" s="159">
        <v>2620.539840544523</v>
      </c>
      <c r="D41" s="163">
        <v>36.14537711095894</v>
      </c>
      <c r="E41" s="208">
        <f t="shared" si="0"/>
        <v>46.501027653248677</v>
      </c>
      <c r="F41" s="156">
        <f t="shared" si="1"/>
        <v>47.896058482846136</v>
      </c>
      <c r="G41" s="208">
        <f t="shared" si="2"/>
        <v>48.853979652503057</v>
      </c>
      <c r="H41" s="156">
        <f t="shared" si="3"/>
        <v>50.07532914381563</v>
      </c>
      <c r="I41" s="208">
        <f t="shared" si="4"/>
        <v>51.076835726691947</v>
      </c>
      <c r="J41" s="156">
        <f t="shared" si="5"/>
        <v>52.098372441225784</v>
      </c>
      <c r="K41" s="210">
        <f t="shared" si="6"/>
        <v>53.140339890050299</v>
      </c>
      <c r="L41" s="162">
        <f t="shared" si="6"/>
        <v>54.203146687851309</v>
      </c>
    </row>
    <row r="42" spans="1:12" ht="13.8">
      <c r="A42" s="206" t="s">
        <v>113</v>
      </c>
      <c r="B42" s="160">
        <v>70252.900594209583</v>
      </c>
      <c r="C42" s="159">
        <v>2692.7880184585233</v>
      </c>
      <c r="D42" s="163">
        <v>37.141903702876185</v>
      </c>
      <c r="E42" s="208">
        <f t="shared" si="0"/>
        <v>47.783059113750213</v>
      </c>
      <c r="F42" s="156">
        <f t="shared" si="1"/>
        <v>49.216550887162718</v>
      </c>
      <c r="G42" s="208">
        <f t="shared" si="2"/>
        <v>50.200881904905977</v>
      </c>
      <c r="H42" s="156">
        <f t="shared" si="3"/>
        <v>51.455903952528622</v>
      </c>
      <c r="I42" s="208">
        <f t="shared" si="4"/>
        <v>52.485022031579199</v>
      </c>
      <c r="J42" s="156">
        <f t="shared" si="5"/>
        <v>53.534722472210781</v>
      </c>
      <c r="K42" s="210">
        <f t="shared" si="6"/>
        <v>54.605416921654999</v>
      </c>
      <c r="L42" s="162">
        <f t="shared" si="6"/>
        <v>55.697525260088099</v>
      </c>
    </row>
    <row r="43" spans="1:12" ht="13.8">
      <c r="A43" s="206" t="s">
        <v>114</v>
      </c>
      <c r="B43" s="160">
        <v>72135.693390152272</v>
      </c>
      <c r="C43" s="159">
        <v>2764.9553146024832</v>
      </c>
      <c r="D43" s="163">
        <v>38.137314684172182</v>
      </c>
      <c r="E43" s="208">
        <f t="shared" si="0"/>
        <v>49.063655341187513</v>
      </c>
      <c r="F43" s="156">
        <f t="shared" si="1"/>
        <v>50.535565001423137</v>
      </c>
      <c r="G43" s="208">
        <f t="shared" si="2"/>
        <v>51.546276301451599</v>
      </c>
      <c r="H43" s="156">
        <f t="shared" si="3"/>
        <v>52.834933208987884</v>
      </c>
      <c r="I43" s="208">
        <f t="shared" si="4"/>
        <v>53.89163187316764</v>
      </c>
      <c r="J43" s="156">
        <f t="shared" si="5"/>
        <v>54.969464510630992</v>
      </c>
      <c r="K43" s="210">
        <f t="shared" si="6"/>
        <v>56.068853800843613</v>
      </c>
      <c r="L43" s="162">
        <f t="shared" si="6"/>
        <v>57.190230876860483</v>
      </c>
    </row>
    <row r="44" spans="1:12" ht="13.8">
      <c r="A44" s="206" t="s">
        <v>115</v>
      </c>
      <c r="B44" s="160">
        <v>74016.394712818073</v>
      </c>
      <c r="C44" s="159">
        <v>2837.0424447442811</v>
      </c>
      <c r="D44" s="163">
        <v>39.131619927507323</v>
      </c>
      <c r="E44" s="208">
        <f t="shared" si="0"/>
        <v>50.342829036738173</v>
      </c>
      <c r="F44" s="156">
        <f t="shared" si="1"/>
        <v>51.853113907840317</v>
      </c>
      <c r="G44" s="208">
        <f t="shared" si="2"/>
        <v>52.890176185997127</v>
      </c>
      <c r="H44" s="156">
        <f t="shared" si="3"/>
        <v>54.212430590647052</v>
      </c>
      <c r="I44" s="208">
        <f t="shared" si="4"/>
        <v>55.296679202459991</v>
      </c>
      <c r="J44" s="156">
        <f t="shared" si="5"/>
        <v>56.402612786509195</v>
      </c>
      <c r="K44" s="210">
        <f t="shared" si="6"/>
        <v>57.530665042239377</v>
      </c>
      <c r="L44" s="162">
        <f t="shared" si="6"/>
        <v>58.681278343084166</v>
      </c>
    </row>
    <row r="45" spans="1:12" ht="13.8">
      <c r="A45" s="206" t="s">
        <v>116</v>
      </c>
      <c r="B45" s="160">
        <v>76263.925509160967</v>
      </c>
      <c r="C45" s="159">
        <v>2923.1901190512335</v>
      </c>
      <c r="D45" s="163">
        <v>40.319863711051497</v>
      </c>
      <c r="E45" s="208">
        <f t="shared" si="0"/>
        <v>51.871504664267746</v>
      </c>
      <c r="F45" s="156">
        <f t="shared" si="1"/>
        <v>53.427649804195781</v>
      </c>
      <c r="G45" s="208">
        <f t="shared" si="2"/>
        <v>54.496202800279697</v>
      </c>
      <c r="H45" s="156">
        <f t="shared" si="3"/>
        <v>55.858607870286683</v>
      </c>
      <c r="I45" s="208">
        <f t="shared" si="4"/>
        <v>56.975780027692416</v>
      </c>
      <c r="J45" s="156">
        <f t="shared" si="5"/>
        <v>58.115295628246265</v>
      </c>
      <c r="K45" s="210">
        <f t="shared" si="6"/>
        <v>59.27760154081119</v>
      </c>
      <c r="L45" s="162">
        <f t="shared" si="6"/>
        <v>60.463153571627416</v>
      </c>
    </row>
    <row r="46" spans="1:12" ht="13.8">
      <c r="A46" s="206" t="s">
        <v>117</v>
      </c>
      <c r="B46" s="160">
        <v>78519.915567954347</v>
      </c>
      <c r="C46" s="159">
        <v>3009.6620362062254</v>
      </c>
      <c r="D46" s="163">
        <v>41.512579809741041</v>
      </c>
      <c r="E46" s="208">
        <f t="shared" si="0"/>
        <v>53.405933925231849</v>
      </c>
      <c r="F46" s="156">
        <f t="shared" si="1"/>
        <v>55.008111942988805</v>
      </c>
      <c r="G46" s="208">
        <f t="shared" si="2"/>
        <v>56.108274181848579</v>
      </c>
      <c r="H46" s="156">
        <f t="shared" si="3"/>
        <v>57.510981036394789</v>
      </c>
      <c r="I46" s="208">
        <f t="shared" si="4"/>
        <v>58.661200657122684</v>
      </c>
      <c r="J46" s="156">
        <f t="shared" si="5"/>
        <v>59.834424670265136</v>
      </c>
      <c r="K46" s="210">
        <f t="shared" si="6"/>
        <v>61.03111316367044</v>
      </c>
      <c r="L46" s="162">
        <f t="shared" si="6"/>
        <v>62.251735426943853</v>
      </c>
    </row>
    <row r="47" spans="1:12" ht="13.8">
      <c r="A47" s="206" t="s">
        <v>118</v>
      </c>
      <c r="B47" s="160">
        <v>80782.217394315521</v>
      </c>
      <c r="C47" s="159">
        <v>3096.3758829034578</v>
      </c>
      <c r="D47" s="163">
        <v>42.708632867633902</v>
      </c>
      <c r="E47" s="208">
        <f t="shared" si="0"/>
        <v>54.944656184211013</v>
      </c>
      <c r="F47" s="156">
        <f t="shared" si="1"/>
        <v>56.592995869737344</v>
      </c>
      <c r="G47" s="208">
        <f t="shared" si="2"/>
        <v>57.724855787132093</v>
      </c>
      <c r="H47" s="156">
        <f t="shared" si="3"/>
        <v>59.167977181810393</v>
      </c>
      <c r="I47" s="208">
        <f t="shared" si="4"/>
        <v>60.3513367254466</v>
      </c>
      <c r="J47" s="156">
        <f t="shared" si="5"/>
        <v>61.558363459955537</v>
      </c>
      <c r="K47" s="210">
        <f t="shared" si="6"/>
        <v>62.789530729154649</v>
      </c>
      <c r="L47" s="162">
        <f t="shared" si="6"/>
        <v>64.04532134373774</v>
      </c>
    </row>
    <row r="48" spans="1:12" ht="13.8">
      <c r="A48" s="206" t="s">
        <v>119</v>
      </c>
      <c r="B48" s="160">
        <v>83033.987158817894</v>
      </c>
      <c r="C48" s="159">
        <v>3182.686036518367</v>
      </c>
      <c r="D48" s="163">
        <v>43.899117745080922</v>
      </c>
      <c r="E48" s="208">
        <f t="shared" si="0"/>
        <v>56.476214979046603</v>
      </c>
      <c r="F48" s="156">
        <f t="shared" si="1"/>
        <v>58.170501428418</v>
      </c>
      <c r="G48" s="208">
        <f t="shared" si="2"/>
        <v>59.333911456986364</v>
      </c>
      <c r="H48" s="156">
        <f t="shared" si="3"/>
        <v>60.817259243411016</v>
      </c>
      <c r="I48" s="208">
        <f t="shared" si="4"/>
        <v>62.03360442827924</v>
      </c>
      <c r="J48" s="156">
        <f t="shared" si="5"/>
        <v>63.274276516844829</v>
      </c>
      <c r="K48" s="210">
        <f t="shared" si="6"/>
        <v>64.539762047181725</v>
      </c>
      <c r="L48" s="162">
        <f t="shared" si="6"/>
        <v>65.830557288125362</v>
      </c>
    </row>
    <row r="49" spans="1:12" ht="13.8">
      <c r="A49" s="206" t="s">
        <v>120</v>
      </c>
      <c r="B49" s="160">
        <v>85287.848396597255</v>
      </c>
      <c r="C49" s="159">
        <v>3269.076356135442</v>
      </c>
      <c r="D49" s="163">
        <v>45.090708360488854</v>
      </c>
      <c r="E49" s="208">
        <f t="shared" si="0"/>
        <v>58.00919630576891</v>
      </c>
      <c r="F49" s="156">
        <f t="shared" si="1"/>
        <v>59.74947219494198</v>
      </c>
      <c r="G49" s="208">
        <f t="shared" si="2"/>
        <v>60.944461638840821</v>
      </c>
      <c r="H49" s="156">
        <f t="shared" si="3"/>
        <v>62.468073179811839</v>
      </c>
      <c r="I49" s="208">
        <f t="shared" si="4"/>
        <v>63.717434643408076</v>
      </c>
      <c r="J49" s="156">
        <f t="shared" si="5"/>
        <v>64.991783336276242</v>
      </c>
      <c r="K49" s="210">
        <f t="shared" si="6"/>
        <v>66.29161900300177</v>
      </c>
      <c r="L49" s="162">
        <f t="shared" si="6"/>
        <v>67.617451383061805</v>
      </c>
    </row>
    <row r="50" spans="1:12" ht="13.8">
      <c r="A50" s="206" t="s">
        <v>121</v>
      </c>
      <c r="B50" s="160">
        <v>88113.111337952592</v>
      </c>
      <c r="C50" s="159">
        <v>3377.3684570042792</v>
      </c>
      <c r="D50" s="163">
        <v>46.584392510403852</v>
      </c>
      <c r="E50" s="208">
        <f t="shared" si="0"/>
        <v>59.930820964634556</v>
      </c>
      <c r="F50" s="156">
        <f t="shared" si="1"/>
        <v>61.728745593573592</v>
      </c>
      <c r="G50" s="208">
        <f t="shared" si="2"/>
        <v>62.963320505445068</v>
      </c>
      <c r="H50" s="156">
        <f t="shared" si="3"/>
        <v>64.537403518081192</v>
      </c>
      <c r="I50" s="208">
        <f t="shared" si="4"/>
        <v>65.828151588442822</v>
      </c>
      <c r="J50" s="156">
        <f t="shared" si="5"/>
        <v>67.144714620211673</v>
      </c>
      <c r="K50" s="210">
        <f t="shared" si="6"/>
        <v>68.487608912615912</v>
      </c>
      <c r="L50" s="162">
        <f t="shared" si="6"/>
        <v>69.857361090868224</v>
      </c>
    </row>
    <row r="51" spans="1:12" ht="13.8">
      <c r="A51" s="206" t="s">
        <v>122</v>
      </c>
      <c r="B51" s="160">
        <v>90972.140927459754</v>
      </c>
      <c r="C51" s="159">
        <v>3486.9548307756963</v>
      </c>
      <c r="D51" s="163">
        <v>48.095928700354435</v>
      </c>
      <c r="E51" s="208">
        <f t="shared" si="0"/>
        <v>61.875412273005978</v>
      </c>
      <c r="F51" s="156">
        <f t="shared" si="1"/>
        <v>63.731674641196157</v>
      </c>
      <c r="G51" s="208">
        <f t="shared" si="2"/>
        <v>65.006308134020088</v>
      </c>
      <c r="H51" s="156">
        <f t="shared" si="3"/>
        <v>66.631465837370584</v>
      </c>
      <c r="I51" s="208">
        <f t="shared" si="4"/>
        <v>67.964095154117999</v>
      </c>
      <c r="J51" s="156">
        <f t="shared" si="5"/>
        <v>69.323377057200361</v>
      </c>
      <c r="K51" s="210">
        <f t="shared" si="6"/>
        <v>70.709844598344375</v>
      </c>
      <c r="L51" s="162">
        <f t="shared" si="6"/>
        <v>72.124041490311271</v>
      </c>
    </row>
    <row r="52" spans="1:12" ht="13.8">
      <c r="A52" s="206" t="s">
        <v>123</v>
      </c>
      <c r="B52" s="160">
        <v>93854.177589917657</v>
      </c>
      <c r="C52" s="159">
        <v>3597.4230637992946</v>
      </c>
      <c r="D52" s="163">
        <v>49.61962846619717</v>
      </c>
      <c r="E52" s="208">
        <f t="shared" si="0"/>
        <v>63.835652021762655</v>
      </c>
      <c r="F52" s="156">
        <f t="shared" si="1"/>
        <v>65.750721582415537</v>
      </c>
      <c r="G52" s="208">
        <f t="shared" si="2"/>
        <v>67.065736014063845</v>
      </c>
      <c r="H52" s="156">
        <f t="shared" si="3"/>
        <v>68.742379414415439</v>
      </c>
      <c r="I52" s="208">
        <f t="shared" si="4"/>
        <v>70.117227002703743</v>
      </c>
      <c r="J52" s="156">
        <f t="shared" si="5"/>
        <v>71.519571542757816</v>
      </c>
      <c r="K52" s="210">
        <f t="shared" si="6"/>
        <v>72.949962973612969</v>
      </c>
      <c r="L52" s="162">
        <f t="shared" si="6"/>
        <v>74.408962233085234</v>
      </c>
    </row>
    <row r="53" spans="1:12" ht="13.8">
      <c r="A53" s="206" t="s">
        <v>124</v>
      </c>
      <c r="B53" s="160">
        <v>97769.697442625067</v>
      </c>
      <c r="C53" s="159">
        <v>3747.5046242220969</v>
      </c>
      <c r="D53" s="163">
        <v>51.689718954787544</v>
      </c>
      <c r="E53" s="208">
        <f t="shared" si="0"/>
        <v>66.498823435334174</v>
      </c>
      <c r="F53" s="156">
        <f t="shared" si="1"/>
        <v>68.493788138394194</v>
      </c>
      <c r="G53" s="208">
        <f t="shared" si="2"/>
        <v>69.863663901162084</v>
      </c>
      <c r="H53" s="156">
        <f t="shared" si="3"/>
        <v>71.610255498691131</v>
      </c>
      <c r="I53" s="208">
        <f t="shared" si="4"/>
        <v>73.042460608664953</v>
      </c>
      <c r="J53" s="156">
        <f t="shared" si="5"/>
        <v>74.503309820838254</v>
      </c>
      <c r="K53" s="210">
        <f t="shared" si="6"/>
        <v>75.993376017255017</v>
      </c>
      <c r="L53" s="162">
        <f t="shared" si="6"/>
        <v>77.513243537600118</v>
      </c>
    </row>
    <row r="54" spans="1:12" ht="13.8">
      <c r="A54" s="206" t="s">
        <v>125</v>
      </c>
      <c r="B54" s="160">
        <v>101680.84592944506</v>
      </c>
      <c r="C54" s="159">
        <v>3897.4186305427006</v>
      </c>
      <c r="D54" s="163">
        <v>53.757498352313114</v>
      </c>
      <c r="E54" s="208">
        <f t="shared" si="0"/>
        <v>69.15902163025082</v>
      </c>
      <c r="F54" s="156">
        <f t="shared" si="1"/>
        <v>71.233792279158351</v>
      </c>
      <c r="G54" s="208">
        <f t="shared" si="2"/>
        <v>72.658468124741518</v>
      </c>
      <c r="H54" s="156">
        <f t="shared" si="3"/>
        <v>74.474929827860052</v>
      </c>
      <c r="I54" s="208">
        <f t="shared" si="4"/>
        <v>75.96442842441725</v>
      </c>
      <c r="J54" s="156">
        <f t="shared" si="5"/>
        <v>77.483716992905599</v>
      </c>
      <c r="K54" s="210">
        <f t="shared" si="6"/>
        <v>79.033391332763713</v>
      </c>
      <c r="L54" s="162">
        <f t="shared" si="6"/>
        <v>80.614059159418986</v>
      </c>
    </row>
    <row r="55" spans="1:12" ht="13.8">
      <c r="A55" s="206" t="s">
        <v>126</v>
      </c>
      <c r="B55" s="160">
        <v>105596.36578215251</v>
      </c>
      <c r="C55" s="159">
        <v>4047.5001909655043</v>
      </c>
      <c r="D55" s="163">
        <v>55.827588840903509</v>
      </c>
      <c r="E55" s="208">
        <f t="shared" si="0"/>
        <v>71.822193043822367</v>
      </c>
      <c r="F55" s="156">
        <f t="shared" si="1"/>
        <v>73.976858835137037</v>
      </c>
      <c r="G55" s="208">
        <f t="shared" si="2"/>
        <v>75.456396011839786</v>
      </c>
      <c r="H55" s="156">
        <f t="shared" si="3"/>
        <v>77.342805912135773</v>
      </c>
      <c r="I55" s="208">
        <f t="shared" si="4"/>
        <v>78.889662030378489</v>
      </c>
      <c r="J55" s="156">
        <f t="shared" si="5"/>
        <v>80.467455270986065</v>
      </c>
      <c r="K55" s="210">
        <f t="shared" si="6"/>
        <v>82.076804376405789</v>
      </c>
      <c r="L55" s="162">
        <f t="shared" si="6"/>
        <v>83.718340463933913</v>
      </c>
    </row>
    <row r="56" spans="1:12" ht="13.8">
      <c r="A56" s="206" t="s">
        <v>127</v>
      </c>
      <c r="B56" s="160">
        <v>109992.28903174434</v>
      </c>
      <c r="C56" s="159">
        <v>4215.9955748776638</v>
      </c>
      <c r="D56" s="163">
        <v>58.151663101760882</v>
      </c>
      <c r="E56" s="208">
        <f t="shared" si="0"/>
        <v>74.812114580415368</v>
      </c>
      <c r="F56" s="156">
        <f t="shared" si="1"/>
        <v>77.056478017827828</v>
      </c>
      <c r="G56" s="208">
        <f t="shared" si="2"/>
        <v>78.59760757818438</v>
      </c>
      <c r="H56" s="156">
        <f t="shared" si="3"/>
        <v>80.562547767638989</v>
      </c>
      <c r="I56" s="208">
        <f t="shared" si="4"/>
        <v>82.173798722991776</v>
      </c>
      <c r="J56" s="156">
        <f t="shared" si="5"/>
        <v>83.817274697451609</v>
      </c>
      <c r="K56" s="210">
        <f t="shared" si="6"/>
        <v>85.493620191400638</v>
      </c>
      <c r="L56" s="162">
        <f t="shared" si="6"/>
        <v>87.203492595228653</v>
      </c>
    </row>
    <row r="57" spans="1:12" ht="13.8">
      <c r="A57" s="206" t="s">
        <v>128</v>
      </c>
      <c r="B57" s="160">
        <v>114383.82148715598</v>
      </c>
      <c r="C57" s="159">
        <v>4384.3226600027283</v>
      </c>
      <c r="D57" s="163">
        <v>60.473416000037631</v>
      </c>
      <c r="E57" s="208">
        <f t="shared" si="0"/>
        <v>77.799049684048413</v>
      </c>
      <c r="F57" s="156">
        <f t="shared" si="1"/>
        <v>80.133021174569862</v>
      </c>
      <c r="G57" s="208">
        <f t="shared" si="2"/>
        <v>81.735681598061262</v>
      </c>
      <c r="H57" s="156">
        <f t="shared" si="3"/>
        <v>83.77907363801279</v>
      </c>
      <c r="I57" s="208">
        <f t="shared" si="4"/>
        <v>85.454655110773047</v>
      </c>
      <c r="J57" s="156">
        <f t="shared" si="5"/>
        <v>87.163748212988509</v>
      </c>
      <c r="K57" s="210">
        <f t="shared" si="6"/>
        <v>88.907023177248277</v>
      </c>
      <c r="L57" s="162">
        <f t="shared" si="6"/>
        <v>90.685163640793249</v>
      </c>
    </row>
    <row r="58" spans="1:12" ht="13.8">
      <c r="A58" s="206" t="s">
        <v>129</v>
      </c>
      <c r="B58" s="160">
        <v>118792.89769099584</v>
      </c>
      <c r="C58" s="159">
        <v>4553.3221955912868</v>
      </c>
      <c r="D58" s="163">
        <v>62.804444077121197</v>
      </c>
      <c r="E58" s="208">
        <f t="shared" si="0"/>
        <v>80.797917305216416</v>
      </c>
      <c r="F58" s="156">
        <f t="shared" si="1"/>
        <v>83.221854824372912</v>
      </c>
      <c r="G58" s="208">
        <f t="shared" si="2"/>
        <v>84.886291920860373</v>
      </c>
      <c r="H58" s="156">
        <f t="shared" si="3"/>
        <v>87.008449218881879</v>
      </c>
      <c r="I58" s="208">
        <f t="shared" si="4"/>
        <v>88.748618203259511</v>
      </c>
      <c r="J58" s="156">
        <f t="shared" si="5"/>
        <v>90.523590567324703</v>
      </c>
      <c r="K58" s="210">
        <f t="shared" si="6"/>
        <v>92.334062378671206</v>
      </c>
      <c r="L58" s="162">
        <f t="shared" si="6"/>
        <v>94.180743626244634</v>
      </c>
    </row>
    <row r="59" spans="1:12" ht="13.8">
      <c r="A59" s="206" t="s">
        <v>130</v>
      </c>
      <c r="B59" s="160">
        <v>123186.6255434976</v>
      </c>
      <c r="C59" s="159">
        <v>4721.7334301098999</v>
      </c>
      <c r="D59" s="163">
        <v>65.127357656688275</v>
      </c>
      <c r="E59" s="208">
        <f t="shared" si="0"/>
        <v>83.78634562532946</v>
      </c>
      <c r="F59" s="156">
        <f t="shared" si="1"/>
        <v>86.299935994089353</v>
      </c>
      <c r="G59" s="208">
        <f t="shared" si="2"/>
        <v>88.025934713971139</v>
      </c>
      <c r="H59" s="156">
        <f t="shared" si="3"/>
        <v>90.226583081820408</v>
      </c>
      <c r="I59" s="208">
        <f t="shared" si="4"/>
        <v>92.031114743456811</v>
      </c>
      <c r="J59" s="156">
        <f t="shared" si="5"/>
        <v>93.871737038325946</v>
      </c>
      <c r="K59" s="210">
        <f t="shared" si="6"/>
        <v>95.749171779092464</v>
      </c>
      <c r="L59" s="162">
        <f t="shared" si="6"/>
        <v>97.664155214674309</v>
      </c>
    </row>
    <row r="60" spans="1:12" ht="13.8">
      <c r="A60" s="206" t="s">
        <v>131</v>
      </c>
      <c r="B60" s="160">
        <v>127591.31095315714</v>
      </c>
      <c r="C60" s="159">
        <v>4890.5646669113576</v>
      </c>
      <c r="D60" s="163">
        <v>67.456064371191133</v>
      </c>
      <c r="E60" s="208">
        <f t="shared" si="0"/>
        <v>86.782226813537392</v>
      </c>
      <c r="F60" s="156">
        <f t="shared" si="1"/>
        <v>89.385693617943517</v>
      </c>
      <c r="G60" s="208">
        <f t="shared" si="2"/>
        <v>91.173407490302395</v>
      </c>
      <c r="H60" s="156">
        <f t="shared" si="3"/>
        <v>93.452742677559954</v>
      </c>
      <c r="I60" s="208">
        <f t="shared" si="4"/>
        <v>95.321797531111159</v>
      </c>
      <c r="J60" s="156">
        <f t="shared" si="5"/>
        <v>97.228233481733383</v>
      </c>
      <c r="K60" s="210">
        <f t="shared" si="6"/>
        <v>99.172798151368056</v>
      </c>
      <c r="L60" s="162">
        <f t="shared" si="6"/>
        <v>101.15625411439542</v>
      </c>
    </row>
    <row r="61" spans="1:12" ht="14.4" thickBot="1">
      <c r="A61" s="207" t="s">
        <v>132</v>
      </c>
      <c r="B61" s="164">
        <v>132070.5815790031</v>
      </c>
      <c r="C61" s="166">
        <v>5062.2547490388051</v>
      </c>
      <c r="D61" s="165">
        <v>69.824203435018006</v>
      </c>
      <c r="E61" s="209">
        <f t="shared" si="0"/>
        <v>89.82883771915067</v>
      </c>
      <c r="F61" s="157">
        <f t="shared" si="1"/>
        <v>92.523702850725186</v>
      </c>
      <c r="G61" s="209">
        <f t="shared" si="2"/>
        <v>94.374176907739695</v>
      </c>
      <c r="H61" s="157">
        <f t="shared" si="3"/>
        <v>96.733531330433181</v>
      </c>
      <c r="I61" s="209">
        <f t="shared" si="4"/>
        <v>98.668201957041845</v>
      </c>
      <c r="J61" s="157">
        <f t="shared" si="5"/>
        <v>100.64156599618268</v>
      </c>
      <c r="K61" s="211">
        <f t="shared" si="6"/>
        <v>102.65439731610633</v>
      </c>
      <c r="L61" s="187">
        <f t="shared" si="6"/>
        <v>104.70748526242845</v>
      </c>
    </row>
  </sheetData>
  <mergeCells count="1">
    <mergeCell ref="I2:L2"/>
  </mergeCells>
  <pageMargins left="0.7" right="0.7" top="0.75" bottom="0.75" header="0.3" footer="0.3"/>
  <pageSetup paperSize="9" orientation="portrait" horizontalDpi="4294967293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F22"/>
  <sheetViews>
    <sheetView workbookViewId="0"/>
  </sheetViews>
  <sheetFormatPr defaultColWidth="8.88671875" defaultRowHeight="14.4"/>
  <cols>
    <col min="1" max="1" width="30.33203125" bestFit="1" customWidth="1"/>
    <col min="2" max="2" width="15.44140625" bestFit="1" customWidth="1"/>
    <col min="5" max="5" width="18.44140625" bestFit="1" customWidth="1"/>
  </cols>
  <sheetData>
    <row r="2" spans="1:6">
      <c r="A2" s="45" t="s">
        <v>133</v>
      </c>
      <c r="B2" s="35"/>
      <c r="E2" s="49"/>
      <c r="F2" s="33"/>
    </row>
    <row r="3" spans="1:6">
      <c r="E3" s="49"/>
      <c r="F3" s="34"/>
    </row>
    <row r="4" spans="1:6">
      <c r="A4" s="46" t="s">
        <v>134</v>
      </c>
      <c r="B4" s="36"/>
    </row>
    <row r="5" spans="1:6">
      <c r="B5" s="7"/>
    </row>
    <row r="6" spans="1:6">
      <c r="A6" s="40" t="s">
        <v>135</v>
      </c>
      <c r="B6" s="43">
        <v>3004.2821917808219</v>
      </c>
    </row>
    <row r="7" spans="1:6" ht="28.8">
      <c r="A7" s="40" t="s">
        <v>136</v>
      </c>
      <c r="B7" s="43">
        <v>2570.3041095890412</v>
      </c>
    </row>
    <row r="8" spans="1:6">
      <c r="B8" s="7"/>
    </row>
    <row r="9" spans="1:6">
      <c r="A9" s="41" t="s">
        <v>137</v>
      </c>
      <c r="B9" s="43">
        <v>334972</v>
      </c>
    </row>
    <row r="10" spans="1:6">
      <c r="B10" s="7"/>
    </row>
    <row r="11" spans="1:6">
      <c r="A11" s="37" t="s">
        <v>138</v>
      </c>
      <c r="B11" s="44">
        <v>408</v>
      </c>
    </row>
    <row r="12" spans="1:6">
      <c r="B12" s="7"/>
    </row>
    <row r="13" spans="1:6">
      <c r="A13" s="41" t="s">
        <v>139</v>
      </c>
      <c r="B13" s="43">
        <f>B11*B6</f>
        <v>1225747.1342465754</v>
      </c>
    </row>
    <row r="14" spans="1:6">
      <c r="B14" s="7"/>
    </row>
    <row r="15" spans="1:6">
      <c r="A15" s="37" t="s">
        <v>140</v>
      </c>
      <c r="B15" s="47">
        <v>0.57999999999999996</v>
      </c>
    </row>
    <row r="16" spans="1:6">
      <c r="A16" s="7"/>
      <c r="B16" s="7"/>
    </row>
    <row r="17" spans="1:2">
      <c r="A17" s="37" t="s">
        <v>141</v>
      </c>
      <c r="B17" s="42">
        <f>B15*B13</f>
        <v>710933.33786301373</v>
      </c>
    </row>
    <row r="18" spans="1:2">
      <c r="A18" s="7"/>
      <c r="B18" s="7"/>
    </row>
    <row r="19" spans="1:2">
      <c r="A19" s="37" t="s">
        <v>142</v>
      </c>
      <c r="B19" s="48">
        <f>(B11*B7)-B9</f>
        <v>713712.07671232871</v>
      </c>
    </row>
    <row r="20" spans="1:2">
      <c r="B20" s="7"/>
    </row>
    <row r="21" spans="1:2">
      <c r="A21" s="38" t="s">
        <v>143</v>
      </c>
      <c r="B21" s="39">
        <f>B19-B17</f>
        <v>2778.7388493149774</v>
      </c>
    </row>
    <row r="22" spans="1:2">
      <c r="B22" s="7"/>
    </row>
  </sheetData>
  <dataValidations count="1">
    <dataValidation type="list" allowBlank="1" showInputMessage="1" showErrorMessage="1" sqref="F2" xr:uid="{00000000-0002-0000-0300-000000000000}">
      <formula1>#REF!</formula1>
    </dataValidation>
  </dataValidation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1"/>
  </sheetPr>
  <dimension ref="A1"/>
  <sheetViews>
    <sheetView workbookViewId="0"/>
  </sheetViews>
  <sheetFormatPr defaultColWidth="8.88671875" defaultRowHeight="14.4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3:P22"/>
  <sheetViews>
    <sheetView workbookViewId="0"/>
  </sheetViews>
  <sheetFormatPr defaultColWidth="8.88671875" defaultRowHeight="14.4"/>
  <cols>
    <col min="2" max="2" width="46.44140625" customWidth="1"/>
    <col min="3" max="3" width="16.88671875" customWidth="1"/>
    <col min="4" max="9" width="9.44140625" style="50" bestFit="1" customWidth="1"/>
    <col min="10" max="10" width="11.44140625" style="50" customWidth="1"/>
    <col min="11" max="11" width="11" style="50" customWidth="1"/>
    <col min="12" max="13" width="9.44140625" style="50" bestFit="1" customWidth="1"/>
    <col min="14" max="16" width="10.44140625" style="50" customWidth="1"/>
  </cols>
  <sheetData>
    <row r="3" spans="2:16">
      <c r="B3" s="65" t="s">
        <v>144</v>
      </c>
      <c r="C3" s="98" t="e">
        <f>#REF!</f>
        <v>#REF!</v>
      </c>
      <c r="J3" s="81" t="s">
        <v>145</v>
      </c>
      <c r="K3" s="82" t="e">
        <f>IF(C3="Postgraduate", "Y","")</f>
        <v>#REF!</v>
      </c>
    </row>
    <row r="4" spans="2:16">
      <c r="B4" s="66" t="s">
        <v>146</v>
      </c>
      <c r="C4" s="99" t="e">
        <f>#REF!</f>
        <v>#REF!</v>
      </c>
      <c r="J4" s="83" t="s">
        <v>147</v>
      </c>
      <c r="K4" s="84" t="e">
        <f>IF(C3="Undergraduate", "Y","")</f>
        <v>#REF!</v>
      </c>
    </row>
    <row r="5" spans="2:16">
      <c r="B5" s="67" t="s">
        <v>148</v>
      </c>
      <c r="C5" s="100" t="e">
        <f>LEFT(#REF!,3)</f>
        <v>#REF!</v>
      </c>
      <c r="J5" s="83" t="s">
        <v>149</v>
      </c>
      <c r="K5" s="84" t="e">
        <f>IF(C4="On Campus", "Y","")</f>
        <v>#REF!</v>
      </c>
    </row>
    <row r="6" spans="2:16">
      <c r="J6" s="83" t="s">
        <v>150</v>
      </c>
      <c r="K6" s="84" t="e">
        <f>IF(C4="Online", "Y","")</f>
        <v>#REF!</v>
      </c>
    </row>
    <row r="7" spans="2:16">
      <c r="B7" s="86" t="s">
        <v>151</v>
      </c>
      <c r="C7" s="37" t="s">
        <v>152</v>
      </c>
      <c r="D7" s="85">
        <v>2018</v>
      </c>
      <c r="E7" s="85">
        <v>2019</v>
      </c>
      <c r="F7" s="85">
        <v>2020</v>
      </c>
      <c r="G7" s="85">
        <v>2021</v>
      </c>
      <c r="H7" s="85">
        <v>2022</v>
      </c>
      <c r="I7" s="85">
        <v>2023</v>
      </c>
      <c r="J7" s="85">
        <v>2024</v>
      </c>
      <c r="K7" s="85">
        <v>2025</v>
      </c>
      <c r="L7" s="85">
        <v>2026</v>
      </c>
      <c r="M7" s="85">
        <v>2027</v>
      </c>
      <c r="N7" s="85">
        <v>2028</v>
      </c>
      <c r="O7" s="85">
        <v>2029</v>
      </c>
      <c r="P7" s="85">
        <v>2030</v>
      </c>
    </row>
    <row r="8" spans="2:16">
      <c r="B8" s="87" t="s">
        <v>153</v>
      </c>
      <c r="C8" s="101">
        <f>SUMIFS(Table1[Casual School per EFTSL],Table1[PG],K3,Table1[UG],K4,Table1[On Campus],K5,Table1[Online],K6,Table1[School],C5)</f>
        <v>0</v>
      </c>
      <c r="D8" s="80" t="e">
        <f>C8*(1+#REF!)</f>
        <v>#REF!</v>
      </c>
      <c r="E8" s="80" t="e">
        <f>D8*(1+#REF!)</f>
        <v>#REF!</v>
      </c>
      <c r="F8" s="80" t="e">
        <f>E8*(1+#REF!)</f>
        <v>#REF!</v>
      </c>
      <c r="G8" s="80" t="e">
        <f>F8*(1+#REF!)</f>
        <v>#REF!</v>
      </c>
      <c r="H8" s="80" t="e">
        <f>G8*(1+#REF!)</f>
        <v>#REF!</v>
      </c>
      <c r="I8" s="80" t="e">
        <f>H8*(1+#REF!)</f>
        <v>#REF!</v>
      </c>
      <c r="J8" s="80" t="e">
        <f>I8*(1+#REF!)</f>
        <v>#REF!</v>
      </c>
      <c r="K8" s="80" t="e">
        <f>J8*(1+#REF!)</f>
        <v>#REF!</v>
      </c>
      <c r="L8" s="80" t="e">
        <f>K8*(1+#REF!)</f>
        <v>#REF!</v>
      </c>
      <c r="M8" s="80" t="e">
        <f>L8*(1+#REF!)</f>
        <v>#REF!</v>
      </c>
      <c r="N8" s="80" t="e">
        <f>M8*(1+#REF!)</f>
        <v>#REF!</v>
      </c>
      <c r="O8" s="80" t="e">
        <f>N8*(1+#REF!)</f>
        <v>#REF!</v>
      </c>
      <c r="P8" s="80" t="e">
        <f>O8*(1+#REF!)</f>
        <v>#REF!</v>
      </c>
    </row>
    <row r="9" spans="2:16">
      <c r="B9" s="87" t="s">
        <v>154</v>
      </c>
      <c r="C9" s="101">
        <f>SUMIFS(Table1[Casual Group per EFTSL],Table1[PG],K3,Table1[UG],K4,Table1[On Campus],K5,Table1[Online],K6,Table1[School],C5)</f>
        <v>0</v>
      </c>
      <c r="D9" s="80" t="e">
        <f>C9*(1+#REF!)</f>
        <v>#REF!</v>
      </c>
      <c r="E9" s="80" t="e">
        <f>D9*(1+#REF!)</f>
        <v>#REF!</v>
      </c>
      <c r="F9" s="80" t="e">
        <f>E9*(1+#REF!)</f>
        <v>#REF!</v>
      </c>
      <c r="G9" s="80" t="e">
        <f>F9*(1+#REF!)</f>
        <v>#REF!</v>
      </c>
      <c r="H9" s="80" t="e">
        <f>G9*(1+#REF!)</f>
        <v>#REF!</v>
      </c>
      <c r="I9" s="80" t="e">
        <f>H9*(1+#REF!)</f>
        <v>#REF!</v>
      </c>
      <c r="J9" s="80" t="e">
        <f>I9*(1+#REF!)</f>
        <v>#REF!</v>
      </c>
      <c r="K9" s="80" t="e">
        <f>J9*(1+#REF!)</f>
        <v>#REF!</v>
      </c>
      <c r="L9" s="80" t="e">
        <f>K9*(1+#REF!)</f>
        <v>#REF!</v>
      </c>
      <c r="M9" s="80" t="e">
        <f>L9*(1+#REF!)</f>
        <v>#REF!</v>
      </c>
      <c r="N9" s="80" t="e">
        <f>M9*(1+#REF!)</f>
        <v>#REF!</v>
      </c>
      <c r="O9" s="80" t="e">
        <f>N9*(1+#REF!)</f>
        <v>#REF!</v>
      </c>
      <c r="P9" s="80" t="e">
        <f>O9*(1+#REF!)</f>
        <v>#REF!</v>
      </c>
    </row>
    <row r="10" spans="2:16">
      <c r="B10" s="87" t="s">
        <v>155</v>
      </c>
      <c r="C10" s="101">
        <f>SUMIFS(Table1[General School per EFTSL],Table1[PG],K3,Table1[UG],K4,Table1[On Campus],K5,Table1[Online],K6,Table1[School],C5)</f>
        <v>0</v>
      </c>
      <c r="D10" s="80" t="e">
        <f>C10*(1+#REF!)</f>
        <v>#REF!</v>
      </c>
      <c r="E10" s="80" t="e">
        <f>D10*(1+#REF!)</f>
        <v>#REF!</v>
      </c>
      <c r="F10" s="80" t="e">
        <f>E10*(1+#REF!)</f>
        <v>#REF!</v>
      </c>
      <c r="G10" s="80" t="e">
        <f>F10*(1+#REF!)</f>
        <v>#REF!</v>
      </c>
      <c r="H10" s="80" t="e">
        <f>G10*(1+#REF!)</f>
        <v>#REF!</v>
      </c>
      <c r="I10" s="80" t="e">
        <f>H10*(1+#REF!)</f>
        <v>#REF!</v>
      </c>
      <c r="J10" s="80" t="e">
        <f>I10*(1+#REF!)</f>
        <v>#REF!</v>
      </c>
      <c r="K10" s="80" t="e">
        <f>J10*(1+#REF!)</f>
        <v>#REF!</v>
      </c>
      <c r="L10" s="80" t="e">
        <f>K10*(1+#REF!)</f>
        <v>#REF!</v>
      </c>
      <c r="M10" s="80" t="e">
        <f>L10*(1+#REF!)</f>
        <v>#REF!</v>
      </c>
      <c r="N10" s="80" t="e">
        <f>M10*(1+#REF!)</f>
        <v>#REF!</v>
      </c>
      <c r="O10" s="80" t="e">
        <f>N10*(1+#REF!)</f>
        <v>#REF!</v>
      </c>
      <c r="P10" s="80" t="e">
        <f>O10*(1+#REF!)</f>
        <v>#REF!</v>
      </c>
    </row>
    <row r="11" spans="2:16">
      <c r="B11" s="87" t="s">
        <v>156</v>
      </c>
      <c r="C11" s="101">
        <f>SUMIFS(Table1[General  Group per EFTSL],Table1[PG],K3,Table1[UG],K4,Table1[On Campus],K5,Table1[Online],K6,Table1[School],C5)</f>
        <v>0</v>
      </c>
      <c r="D11" s="80" t="e">
        <f>C11*(1+#REF!)</f>
        <v>#REF!</v>
      </c>
      <c r="E11" s="80" t="e">
        <f>D11*(1+#REF!)</f>
        <v>#REF!</v>
      </c>
      <c r="F11" s="80" t="e">
        <f>E11*(1+#REF!)</f>
        <v>#REF!</v>
      </c>
      <c r="G11" s="80" t="e">
        <f>F11*(1+#REF!)</f>
        <v>#REF!</v>
      </c>
      <c r="H11" s="80" t="e">
        <f>G11*(1+#REF!)</f>
        <v>#REF!</v>
      </c>
      <c r="I11" s="80" t="e">
        <f>H11*(1+#REF!)</f>
        <v>#REF!</v>
      </c>
      <c r="J11" s="80" t="e">
        <f>I11*(1+#REF!)</f>
        <v>#REF!</v>
      </c>
      <c r="K11" s="80" t="e">
        <f>J11*(1+#REF!)</f>
        <v>#REF!</v>
      </c>
      <c r="L11" s="80" t="e">
        <f>K11*(1+#REF!)</f>
        <v>#REF!</v>
      </c>
      <c r="M11" s="80" t="e">
        <f>L11*(1+#REF!)</f>
        <v>#REF!</v>
      </c>
      <c r="N11" s="80" t="e">
        <f>M11*(1+#REF!)</f>
        <v>#REF!</v>
      </c>
      <c r="O11" s="80" t="e">
        <f>N11*(1+#REF!)</f>
        <v>#REF!</v>
      </c>
      <c r="P11" s="80" t="e">
        <f>O11*(1+#REF!)</f>
        <v>#REF!</v>
      </c>
    </row>
    <row r="12" spans="2:16">
      <c r="B12" s="87" t="s">
        <v>157</v>
      </c>
      <c r="C12" s="101">
        <f>SUMIFS(Table1[Non-Sal School per EFTSL],Table1[PG],K3,Table1[UG],K4,Table1[On Campus],K5,Table1[Online],K6,Table1[School],C5)</f>
        <v>0</v>
      </c>
      <c r="D12" s="80" t="e">
        <f>C12*(1+#REF!)</f>
        <v>#REF!</v>
      </c>
      <c r="E12" s="80" t="e">
        <f>D12*(1+#REF!)</f>
        <v>#REF!</v>
      </c>
      <c r="F12" s="80" t="e">
        <f>E12*(1+#REF!)</f>
        <v>#REF!</v>
      </c>
      <c r="G12" s="80" t="e">
        <f>F12*(1+#REF!)</f>
        <v>#REF!</v>
      </c>
      <c r="H12" s="80" t="e">
        <f>G12*(1+#REF!)</f>
        <v>#REF!</v>
      </c>
      <c r="I12" s="80" t="e">
        <f>H12*(1+#REF!)</f>
        <v>#REF!</v>
      </c>
      <c r="J12" s="80" t="e">
        <f>I12*(1+#REF!)</f>
        <v>#REF!</v>
      </c>
      <c r="K12" s="80" t="e">
        <f>J12*(1+#REF!)</f>
        <v>#REF!</v>
      </c>
      <c r="L12" s="80" t="e">
        <f>K12*(1+#REF!)</f>
        <v>#REF!</v>
      </c>
      <c r="M12" s="80" t="e">
        <f>L12*(1+#REF!)</f>
        <v>#REF!</v>
      </c>
      <c r="N12" s="80" t="e">
        <f>M12*(1+#REF!)</f>
        <v>#REF!</v>
      </c>
      <c r="O12" s="80" t="e">
        <f>N12*(1+#REF!)</f>
        <v>#REF!</v>
      </c>
      <c r="P12" s="80" t="e">
        <f>O12*(1+#REF!)</f>
        <v>#REF!</v>
      </c>
    </row>
    <row r="13" spans="2:16">
      <c r="B13" s="87" t="s">
        <v>158</v>
      </c>
      <c r="C13" s="101">
        <f>SUMIFS(Table1[Non-Sal Group per EFTSL],Table1[PG],K3,Table1[UG],K4,Table1[On Campus],K5,Table1[Online],K6,Table1[School],C5)</f>
        <v>0</v>
      </c>
      <c r="D13" s="80" t="e">
        <f>C13*(1+#REF!)</f>
        <v>#REF!</v>
      </c>
      <c r="E13" s="80" t="e">
        <f>D13*(1+#REF!)</f>
        <v>#REF!</v>
      </c>
      <c r="F13" s="80" t="e">
        <f>E13*(1+#REF!)</f>
        <v>#REF!</v>
      </c>
      <c r="G13" s="80" t="e">
        <f>F13*(1+#REF!)</f>
        <v>#REF!</v>
      </c>
      <c r="H13" s="80" t="e">
        <f>G13*(1+#REF!)</f>
        <v>#REF!</v>
      </c>
      <c r="I13" s="80" t="e">
        <f>H13*(1+#REF!)</f>
        <v>#REF!</v>
      </c>
      <c r="J13" s="80" t="e">
        <f>I13*(1+#REF!)</f>
        <v>#REF!</v>
      </c>
      <c r="K13" s="80" t="e">
        <f>J13*(1+#REF!)</f>
        <v>#REF!</v>
      </c>
      <c r="L13" s="80" t="e">
        <f>K13*(1+#REF!)</f>
        <v>#REF!</v>
      </c>
      <c r="M13" s="80" t="e">
        <f>L13*(1+#REF!)</f>
        <v>#REF!</v>
      </c>
      <c r="N13" s="80" t="e">
        <f>M13*(1+#REF!)</f>
        <v>#REF!</v>
      </c>
      <c r="O13" s="80" t="e">
        <f>N13*(1+#REF!)</f>
        <v>#REF!</v>
      </c>
      <c r="P13" s="80" t="e">
        <f>O13*(1+#REF!)</f>
        <v>#REF!</v>
      </c>
    </row>
    <row r="14" spans="2:16">
      <c r="B14" s="87" t="s">
        <v>159</v>
      </c>
      <c r="C14" s="101">
        <f>SUMIFS(Table1[Central cost per EFTSL],Table1[PG],K3,Table1[UG],K4,Table1[On Campus],K5,Table1[Online],K6,Table1[School],C5)</f>
        <v>0</v>
      </c>
      <c r="D14" s="80" t="e">
        <f>C14*(1+#REF!)</f>
        <v>#REF!</v>
      </c>
      <c r="E14" s="80" t="e">
        <f>D14*(1+#REF!)</f>
        <v>#REF!</v>
      </c>
      <c r="F14" s="80" t="e">
        <f>E14*(1+#REF!)</f>
        <v>#REF!</v>
      </c>
      <c r="G14" s="80" t="e">
        <f>F14*(1+#REF!)</f>
        <v>#REF!</v>
      </c>
      <c r="H14" s="80" t="e">
        <f>G14*(1+#REF!)</f>
        <v>#REF!</v>
      </c>
      <c r="I14" s="80" t="e">
        <f>H14*(1+#REF!)</f>
        <v>#REF!</v>
      </c>
      <c r="J14" s="80" t="e">
        <f>I14*(1+#REF!)</f>
        <v>#REF!</v>
      </c>
      <c r="K14" s="80" t="e">
        <f>J14*(1+#REF!)</f>
        <v>#REF!</v>
      </c>
      <c r="L14" s="80" t="e">
        <f>K14*(1+#REF!)</f>
        <v>#REF!</v>
      </c>
      <c r="M14" s="80" t="e">
        <f>L14*(1+#REF!)</f>
        <v>#REF!</v>
      </c>
      <c r="N14" s="80" t="e">
        <f>M14*(1+#REF!)</f>
        <v>#REF!</v>
      </c>
      <c r="O14" s="80" t="e">
        <f>N14*(1+#REF!)</f>
        <v>#REF!</v>
      </c>
      <c r="P14" s="80" t="e">
        <f>O14*(1+#REF!)</f>
        <v>#REF!</v>
      </c>
    </row>
    <row r="17" spans="2:16">
      <c r="B17" s="86" t="s">
        <v>151</v>
      </c>
      <c r="C17" s="37" t="s">
        <v>152</v>
      </c>
      <c r="D17" s="85">
        <v>2018</v>
      </c>
      <c r="E17" s="85">
        <v>2019</v>
      </c>
      <c r="F17" s="85">
        <v>2020</v>
      </c>
      <c r="G17" s="85">
        <v>2021</v>
      </c>
      <c r="H17" s="85">
        <v>2022</v>
      </c>
      <c r="I17" s="85">
        <v>2023</v>
      </c>
      <c r="J17" s="85">
        <v>2024</v>
      </c>
      <c r="K17" s="85">
        <v>2025</v>
      </c>
      <c r="L17" s="85">
        <v>2026</v>
      </c>
      <c r="M17" s="85">
        <v>2027</v>
      </c>
      <c r="N17" s="85">
        <v>2028</v>
      </c>
      <c r="O17" s="85">
        <v>2029</v>
      </c>
      <c r="P17" s="85">
        <v>2030</v>
      </c>
    </row>
    <row r="18" spans="2:16">
      <c r="B18" s="102" t="s">
        <v>160</v>
      </c>
      <c r="C18" s="88">
        <f>C8+C10</f>
        <v>0</v>
      </c>
      <c r="D18" s="80" t="e">
        <f>D8+D10</f>
        <v>#REF!</v>
      </c>
      <c r="E18" s="80" t="e">
        <f t="shared" ref="E18:P18" si="0">E8+E10</f>
        <v>#REF!</v>
      </c>
      <c r="F18" s="80" t="e">
        <f t="shared" si="0"/>
        <v>#REF!</v>
      </c>
      <c r="G18" s="80" t="e">
        <f t="shared" si="0"/>
        <v>#REF!</v>
      </c>
      <c r="H18" s="80" t="e">
        <f t="shared" si="0"/>
        <v>#REF!</v>
      </c>
      <c r="I18" s="80" t="e">
        <f t="shared" si="0"/>
        <v>#REF!</v>
      </c>
      <c r="J18" s="80" t="e">
        <f t="shared" si="0"/>
        <v>#REF!</v>
      </c>
      <c r="K18" s="80" t="e">
        <f t="shared" si="0"/>
        <v>#REF!</v>
      </c>
      <c r="L18" s="80" t="e">
        <f t="shared" si="0"/>
        <v>#REF!</v>
      </c>
      <c r="M18" s="80" t="e">
        <f t="shared" si="0"/>
        <v>#REF!</v>
      </c>
      <c r="N18" s="80" t="e">
        <f t="shared" si="0"/>
        <v>#REF!</v>
      </c>
      <c r="O18" s="80" t="e">
        <f t="shared" si="0"/>
        <v>#REF!</v>
      </c>
      <c r="P18" s="80" t="e">
        <f t="shared" si="0"/>
        <v>#REF!</v>
      </c>
    </row>
    <row r="19" spans="2:16">
      <c r="B19" s="102" t="s">
        <v>161</v>
      </c>
      <c r="C19" s="88">
        <f>C12</f>
        <v>0</v>
      </c>
      <c r="D19" s="80" t="e">
        <f t="shared" ref="D19:P19" si="1">D12</f>
        <v>#REF!</v>
      </c>
      <c r="E19" s="80" t="e">
        <f t="shared" si="1"/>
        <v>#REF!</v>
      </c>
      <c r="F19" s="80" t="e">
        <f t="shared" si="1"/>
        <v>#REF!</v>
      </c>
      <c r="G19" s="80" t="e">
        <f t="shared" si="1"/>
        <v>#REF!</v>
      </c>
      <c r="H19" s="80" t="e">
        <f t="shared" si="1"/>
        <v>#REF!</v>
      </c>
      <c r="I19" s="80" t="e">
        <f t="shared" si="1"/>
        <v>#REF!</v>
      </c>
      <c r="J19" s="80" t="e">
        <f t="shared" si="1"/>
        <v>#REF!</v>
      </c>
      <c r="K19" s="80" t="e">
        <f t="shared" si="1"/>
        <v>#REF!</v>
      </c>
      <c r="L19" s="80" t="e">
        <f t="shared" si="1"/>
        <v>#REF!</v>
      </c>
      <c r="M19" s="80" t="e">
        <f t="shared" si="1"/>
        <v>#REF!</v>
      </c>
      <c r="N19" s="80" t="e">
        <f t="shared" si="1"/>
        <v>#REF!</v>
      </c>
      <c r="O19" s="80" t="e">
        <f t="shared" si="1"/>
        <v>#REF!</v>
      </c>
      <c r="P19" s="80" t="e">
        <f t="shared" si="1"/>
        <v>#REF!</v>
      </c>
    </row>
    <row r="20" spans="2:16">
      <c r="B20" s="102" t="s">
        <v>162</v>
      </c>
      <c r="C20" s="88">
        <f>C9+C11</f>
        <v>0</v>
      </c>
      <c r="D20" s="80" t="e">
        <f t="shared" ref="D20:P20" si="2">D9+D11</f>
        <v>#REF!</v>
      </c>
      <c r="E20" s="80" t="e">
        <f t="shared" si="2"/>
        <v>#REF!</v>
      </c>
      <c r="F20" s="80" t="e">
        <f t="shared" si="2"/>
        <v>#REF!</v>
      </c>
      <c r="G20" s="80" t="e">
        <f t="shared" si="2"/>
        <v>#REF!</v>
      </c>
      <c r="H20" s="80" t="e">
        <f t="shared" si="2"/>
        <v>#REF!</v>
      </c>
      <c r="I20" s="80" t="e">
        <f t="shared" si="2"/>
        <v>#REF!</v>
      </c>
      <c r="J20" s="80" t="e">
        <f t="shared" si="2"/>
        <v>#REF!</v>
      </c>
      <c r="K20" s="80" t="e">
        <f t="shared" si="2"/>
        <v>#REF!</v>
      </c>
      <c r="L20" s="80" t="e">
        <f t="shared" si="2"/>
        <v>#REF!</v>
      </c>
      <c r="M20" s="80" t="e">
        <f t="shared" si="2"/>
        <v>#REF!</v>
      </c>
      <c r="N20" s="80" t="e">
        <f t="shared" si="2"/>
        <v>#REF!</v>
      </c>
      <c r="O20" s="80" t="e">
        <f t="shared" si="2"/>
        <v>#REF!</v>
      </c>
      <c r="P20" s="80" t="e">
        <f t="shared" si="2"/>
        <v>#REF!</v>
      </c>
    </row>
    <row r="21" spans="2:16">
      <c r="B21" s="102" t="s">
        <v>163</v>
      </c>
      <c r="C21" s="88">
        <f>C13</f>
        <v>0</v>
      </c>
      <c r="D21" s="80" t="e">
        <f t="shared" ref="D21:P21" si="3">D13</f>
        <v>#REF!</v>
      </c>
      <c r="E21" s="80" t="e">
        <f t="shared" si="3"/>
        <v>#REF!</v>
      </c>
      <c r="F21" s="80" t="e">
        <f t="shared" si="3"/>
        <v>#REF!</v>
      </c>
      <c r="G21" s="80" t="e">
        <f t="shared" si="3"/>
        <v>#REF!</v>
      </c>
      <c r="H21" s="80" t="e">
        <f t="shared" si="3"/>
        <v>#REF!</v>
      </c>
      <c r="I21" s="80" t="e">
        <f t="shared" si="3"/>
        <v>#REF!</v>
      </c>
      <c r="J21" s="80" t="e">
        <f t="shared" si="3"/>
        <v>#REF!</v>
      </c>
      <c r="K21" s="80" t="e">
        <f t="shared" si="3"/>
        <v>#REF!</v>
      </c>
      <c r="L21" s="80" t="e">
        <f t="shared" si="3"/>
        <v>#REF!</v>
      </c>
      <c r="M21" s="80" t="e">
        <f t="shared" si="3"/>
        <v>#REF!</v>
      </c>
      <c r="N21" s="80" t="e">
        <f t="shared" si="3"/>
        <v>#REF!</v>
      </c>
      <c r="O21" s="80" t="e">
        <f t="shared" si="3"/>
        <v>#REF!</v>
      </c>
      <c r="P21" s="80" t="e">
        <f t="shared" si="3"/>
        <v>#REF!</v>
      </c>
    </row>
    <row r="22" spans="2:16">
      <c r="B22" s="102" t="s">
        <v>164</v>
      </c>
      <c r="C22" s="88">
        <f>C14</f>
        <v>0</v>
      </c>
      <c r="D22" s="80" t="e">
        <f t="shared" ref="D22:P22" si="4">D14</f>
        <v>#REF!</v>
      </c>
      <c r="E22" s="80" t="e">
        <f t="shared" si="4"/>
        <v>#REF!</v>
      </c>
      <c r="F22" s="80" t="e">
        <f t="shared" si="4"/>
        <v>#REF!</v>
      </c>
      <c r="G22" s="80" t="e">
        <f t="shared" si="4"/>
        <v>#REF!</v>
      </c>
      <c r="H22" s="80" t="e">
        <f t="shared" si="4"/>
        <v>#REF!</v>
      </c>
      <c r="I22" s="80" t="e">
        <f t="shared" si="4"/>
        <v>#REF!</v>
      </c>
      <c r="J22" s="80" t="e">
        <f t="shared" si="4"/>
        <v>#REF!</v>
      </c>
      <c r="K22" s="80" t="e">
        <f t="shared" si="4"/>
        <v>#REF!</v>
      </c>
      <c r="L22" s="80" t="e">
        <f t="shared" si="4"/>
        <v>#REF!</v>
      </c>
      <c r="M22" s="80" t="e">
        <f t="shared" si="4"/>
        <v>#REF!</v>
      </c>
      <c r="N22" s="80" t="e">
        <f t="shared" si="4"/>
        <v>#REF!</v>
      </c>
      <c r="O22" s="80" t="e">
        <f t="shared" si="4"/>
        <v>#REF!</v>
      </c>
      <c r="P22" s="80" t="e">
        <f t="shared" si="4"/>
        <v>#REF!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AI114"/>
  <sheetViews>
    <sheetView workbookViewId="0"/>
  </sheetViews>
  <sheetFormatPr defaultColWidth="8.88671875" defaultRowHeight="14.4"/>
  <cols>
    <col min="3" max="3" width="8" customWidth="1"/>
    <col min="5" max="5" width="8.33203125" customWidth="1"/>
    <col min="7" max="13" width="13.88671875" customWidth="1"/>
    <col min="14" max="14" width="9.33203125" customWidth="1"/>
    <col min="15" max="15" width="9.44140625" bestFit="1" customWidth="1"/>
    <col min="16" max="16" width="9.33203125" bestFit="1" customWidth="1"/>
    <col min="17" max="17" width="10.44140625" bestFit="1" customWidth="1"/>
    <col min="18" max="19" width="9.33203125" bestFit="1" customWidth="1"/>
    <col min="20" max="20" width="9.44140625" bestFit="1" customWidth="1"/>
    <col min="21" max="21" width="9.33203125" bestFit="1" customWidth="1"/>
    <col min="22" max="22" width="10.44140625" bestFit="1" customWidth="1"/>
    <col min="23" max="23" width="9.33203125" bestFit="1" customWidth="1"/>
    <col min="24" max="24" width="9.44140625" bestFit="1" customWidth="1"/>
    <col min="25" max="26" width="9.33203125" bestFit="1" customWidth="1"/>
    <col min="27" max="27" width="9.44140625" bestFit="1" customWidth="1"/>
    <col min="28" max="28" width="9.33203125" bestFit="1" customWidth="1"/>
    <col min="29" max="29" width="9.44140625" bestFit="1" customWidth="1"/>
    <col min="30" max="30" width="9.33203125" bestFit="1" customWidth="1"/>
    <col min="31" max="31" width="9.44140625" bestFit="1" customWidth="1"/>
    <col min="32" max="33" width="9.33203125" bestFit="1" customWidth="1"/>
    <col min="34" max="34" width="9.44140625" bestFit="1" customWidth="1"/>
    <col min="35" max="35" width="9.33203125" bestFit="1" customWidth="1"/>
  </cols>
  <sheetData>
    <row r="2" spans="1:35" s="61" customFormat="1" ht="28.8">
      <c r="A2" s="61" t="s">
        <v>165</v>
      </c>
      <c r="B2" s="61" t="s">
        <v>166</v>
      </c>
      <c r="C2" s="61" t="s">
        <v>145</v>
      </c>
      <c r="D2" s="61" t="s">
        <v>147</v>
      </c>
      <c r="E2" s="61" t="s">
        <v>149</v>
      </c>
      <c r="F2" s="61" t="s">
        <v>150</v>
      </c>
      <c r="G2" s="61" t="s">
        <v>167</v>
      </c>
      <c r="H2" s="61" t="s">
        <v>168</v>
      </c>
      <c r="I2" s="61" t="s">
        <v>169</v>
      </c>
      <c r="J2" s="61" t="s">
        <v>170</v>
      </c>
      <c r="K2" s="61" t="s">
        <v>171</v>
      </c>
      <c r="L2" s="61" t="s">
        <v>172</v>
      </c>
      <c r="M2" s="61" t="s">
        <v>173</v>
      </c>
    </row>
    <row r="3" spans="1:35">
      <c r="A3" t="s">
        <v>174</v>
      </c>
      <c r="B3" t="s">
        <v>175</v>
      </c>
      <c r="C3" s="62" t="s">
        <v>176</v>
      </c>
      <c r="E3" s="63" t="s">
        <v>176</v>
      </c>
      <c r="G3" s="64">
        <v>821.71719015526173</v>
      </c>
      <c r="H3" s="64">
        <v>61.053581269348037</v>
      </c>
      <c r="I3" s="64">
        <v>5702.0621169076267</v>
      </c>
      <c r="J3" s="64">
        <v>20.041144114174767</v>
      </c>
      <c r="K3" s="64">
        <v>5.3419150464386878</v>
      </c>
      <c r="L3" s="64">
        <v>312.04317537515925</v>
      </c>
      <c r="M3" s="64">
        <v>193.22714127262532</v>
      </c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</row>
    <row r="4" spans="1:35">
      <c r="A4" t="s">
        <v>174</v>
      </c>
      <c r="B4" t="s">
        <v>177</v>
      </c>
      <c r="C4" s="62" t="s">
        <v>176</v>
      </c>
      <c r="E4" s="63" t="s">
        <v>176</v>
      </c>
      <c r="G4" s="64">
        <v>530.49661991558173</v>
      </c>
      <c r="H4" s="64">
        <v>60.781627677947839</v>
      </c>
      <c r="I4" s="64">
        <v>5208.1644273795719</v>
      </c>
      <c r="J4" s="64">
        <v>43.136241777412728</v>
      </c>
      <c r="K4" s="64">
        <v>5.3181203246282704</v>
      </c>
      <c r="L4" s="64">
        <v>692.73832053302829</v>
      </c>
      <c r="M4" s="64">
        <v>192.36644131150015</v>
      </c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</row>
    <row r="5" spans="1:35">
      <c r="A5" t="s">
        <v>174</v>
      </c>
      <c r="B5" t="s">
        <v>178</v>
      </c>
      <c r="C5" s="62" t="s">
        <v>176</v>
      </c>
      <c r="E5" s="63" t="s">
        <v>176</v>
      </c>
      <c r="G5" s="64">
        <v>1256.652781957959</v>
      </c>
      <c r="H5" s="64">
        <v>61.053581269348037</v>
      </c>
      <c r="I5" s="64">
        <v>5505.7875266967085</v>
      </c>
      <c r="J5" s="64">
        <v>87.301516085700356</v>
      </c>
      <c r="K5" s="64">
        <v>5.3419150464386895</v>
      </c>
      <c r="L5" s="64">
        <v>370.36497589197376</v>
      </c>
      <c r="M5" s="64">
        <v>193.22714127262543</v>
      </c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</row>
    <row r="6" spans="1:35">
      <c r="A6" t="s">
        <v>174</v>
      </c>
      <c r="B6" t="s">
        <v>179</v>
      </c>
      <c r="C6" s="62" t="s">
        <v>176</v>
      </c>
      <c r="E6" s="63" t="s">
        <v>176</v>
      </c>
      <c r="G6" s="64">
        <v>498.94102049679805</v>
      </c>
      <c r="H6" s="64">
        <v>61.053581269348022</v>
      </c>
      <c r="I6" s="64">
        <v>5048.3957414851802</v>
      </c>
      <c r="J6" s="64">
        <v>7.6877874736770302</v>
      </c>
      <c r="K6" s="64">
        <v>5.3419150464386878</v>
      </c>
      <c r="L6" s="64">
        <v>381.53706883687596</v>
      </c>
      <c r="M6" s="64">
        <v>193.22714127262532</v>
      </c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</row>
    <row r="7" spans="1:35">
      <c r="A7" t="s">
        <v>174</v>
      </c>
      <c r="B7" t="s">
        <v>180</v>
      </c>
      <c r="C7" s="62" t="s">
        <v>176</v>
      </c>
      <c r="E7" s="63" t="s">
        <v>176</v>
      </c>
      <c r="G7" s="64">
        <v>365.07387175670516</v>
      </c>
      <c r="H7" s="64">
        <v>61.053581269348022</v>
      </c>
      <c r="I7" s="64">
        <v>5403.8496208763363</v>
      </c>
      <c r="J7" s="64">
        <v>10.999398003380973</v>
      </c>
      <c r="K7" s="64">
        <v>5.3419150464386878</v>
      </c>
      <c r="L7" s="64">
        <v>302.78906007753244</v>
      </c>
      <c r="M7" s="64">
        <v>193.22714127262535</v>
      </c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</row>
    <row r="8" spans="1:35">
      <c r="A8" t="s">
        <v>174</v>
      </c>
      <c r="B8" t="s">
        <v>181</v>
      </c>
      <c r="C8" s="62" t="s">
        <v>176</v>
      </c>
      <c r="E8" s="63" t="s">
        <v>176</v>
      </c>
      <c r="G8" s="64">
        <v>1211.3157257184071</v>
      </c>
      <c r="H8" s="64">
        <v>61.05358126934803</v>
      </c>
      <c r="I8" s="64">
        <v>6784.5451609139127</v>
      </c>
      <c r="J8" s="64">
        <v>107.4866768976747</v>
      </c>
      <c r="K8" s="64">
        <v>5.3419150464386895</v>
      </c>
      <c r="L8" s="64">
        <v>651.87010568894971</v>
      </c>
      <c r="M8" s="64">
        <v>193.22714127262532</v>
      </c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</row>
    <row r="9" spans="1:35">
      <c r="A9" t="s">
        <v>174</v>
      </c>
      <c r="B9" t="s">
        <v>182</v>
      </c>
      <c r="C9" s="62" t="s">
        <v>176</v>
      </c>
      <c r="E9" s="63" t="s">
        <v>176</v>
      </c>
      <c r="G9" s="64">
        <v>1809.8333487297928</v>
      </c>
      <c r="H9" s="64">
        <v>61.053581269348037</v>
      </c>
      <c r="I9" s="64">
        <v>7108.7709989021141</v>
      </c>
      <c r="J9" s="64">
        <v>380.90586605080824</v>
      </c>
      <c r="K9" s="64">
        <v>5.3419150464386895</v>
      </c>
      <c r="L9" s="64">
        <v>1564.5087825800078</v>
      </c>
      <c r="M9" s="64">
        <v>193.2271412726254</v>
      </c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</row>
    <row r="10" spans="1:35">
      <c r="A10" t="s">
        <v>183</v>
      </c>
      <c r="B10" t="s">
        <v>184</v>
      </c>
      <c r="C10" s="62" t="s">
        <v>176</v>
      </c>
      <c r="E10" s="63" t="s">
        <v>176</v>
      </c>
      <c r="G10" s="64">
        <v>362.94821435660907</v>
      </c>
      <c r="H10" s="64">
        <v>712.10994768504497</v>
      </c>
      <c r="I10" s="64">
        <v>6152.4418483251575</v>
      </c>
      <c r="J10" s="64">
        <v>5.1642969770751401</v>
      </c>
      <c r="K10" s="64">
        <v>36.80039019540903</v>
      </c>
      <c r="L10" s="64">
        <v>110.28453000708369</v>
      </c>
      <c r="M10" s="64">
        <v>631.26915893304749</v>
      </c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</row>
    <row r="11" spans="1:35">
      <c r="A11" t="s">
        <v>183</v>
      </c>
      <c r="B11" t="s">
        <v>185</v>
      </c>
      <c r="C11" s="62" t="s">
        <v>176</v>
      </c>
      <c r="E11" s="63" t="s">
        <v>176</v>
      </c>
      <c r="G11" s="64">
        <v>1880.9890971090301</v>
      </c>
      <c r="H11" s="64">
        <v>665.98932252038787</v>
      </c>
      <c r="I11" s="64">
        <v>5290.4505841052151</v>
      </c>
      <c r="J11" s="64">
        <v>27.086539681392608</v>
      </c>
      <c r="K11" s="64">
        <v>36.80039019540903</v>
      </c>
      <c r="L11" s="64">
        <v>1740.9639804780638</v>
      </c>
      <c r="M11" s="64">
        <v>631.26915893304761</v>
      </c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</row>
    <row r="12" spans="1:35">
      <c r="A12" t="s">
        <v>183</v>
      </c>
      <c r="B12" t="s">
        <v>186</v>
      </c>
      <c r="C12" s="62" t="s">
        <v>176</v>
      </c>
      <c r="E12" s="63" t="s">
        <v>176</v>
      </c>
      <c r="G12" s="64">
        <v>1065.9073178354599</v>
      </c>
      <c r="H12" s="64">
        <v>728.24227779014916</v>
      </c>
      <c r="I12" s="64">
        <v>5970.6520044940053</v>
      </c>
      <c r="J12" s="64">
        <v>19.369107905360224</v>
      </c>
      <c r="K12" s="64">
        <v>36.80039019540903</v>
      </c>
      <c r="L12" s="64">
        <v>168.01967709422109</v>
      </c>
      <c r="M12" s="64">
        <v>631.26915893304749</v>
      </c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</row>
    <row r="13" spans="1:35">
      <c r="A13" t="s">
        <v>183</v>
      </c>
      <c r="B13" t="s">
        <v>187</v>
      </c>
      <c r="C13" s="62" t="s">
        <v>176</v>
      </c>
      <c r="E13" s="63" t="s">
        <v>176</v>
      </c>
      <c r="G13" s="64">
        <v>537.63509273995282</v>
      </c>
      <c r="H13" s="64">
        <v>704.33392111817443</v>
      </c>
      <c r="I13" s="64">
        <v>6205.3092429192593</v>
      </c>
      <c r="J13" s="64">
        <v>20.640250915444437</v>
      </c>
      <c r="K13" s="64">
        <v>36.6496718737896</v>
      </c>
      <c r="L13" s="64">
        <v>140.63146552104445</v>
      </c>
      <c r="M13" s="64">
        <v>628.68375623434531</v>
      </c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</row>
    <row r="14" spans="1:35">
      <c r="A14" t="s">
        <v>183</v>
      </c>
      <c r="B14" t="s">
        <v>188</v>
      </c>
      <c r="C14" s="62" t="s">
        <v>176</v>
      </c>
      <c r="E14" s="63" t="s">
        <v>176</v>
      </c>
      <c r="G14" s="64">
        <v>1317.8774581097846</v>
      </c>
      <c r="H14" s="64">
        <v>692.35008341948014</v>
      </c>
      <c r="I14" s="64">
        <v>5766.2235572564714</v>
      </c>
      <c r="J14" s="64">
        <v>15.210754411417513</v>
      </c>
      <c r="K14" s="64">
        <v>36.800390195409037</v>
      </c>
      <c r="L14" s="64">
        <v>84.948380348101935</v>
      </c>
      <c r="M14" s="64">
        <v>631.26915893304738</v>
      </c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</row>
    <row r="15" spans="1:35">
      <c r="A15" t="s">
        <v>183</v>
      </c>
      <c r="B15" t="s">
        <v>189</v>
      </c>
      <c r="C15" s="62" t="s">
        <v>176</v>
      </c>
      <c r="E15" s="63" t="s">
        <v>176</v>
      </c>
      <c r="G15" s="64">
        <v>464.21193793767532</v>
      </c>
      <c r="H15" s="64">
        <v>719.60011339405025</v>
      </c>
      <c r="I15" s="64">
        <v>6174.5261380116026</v>
      </c>
      <c r="J15" s="64">
        <v>1.2710912072690796</v>
      </c>
      <c r="K15" s="64">
        <v>36.800390195409037</v>
      </c>
      <c r="L15" s="64">
        <v>114.14141685349134</v>
      </c>
      <c r="M15" s="64">
        <v>631.26915893304738</v>
      </c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</row>
    <row r="16" spans="1:35">
      <c r="A16" t="s">
        <v>183</v>
      </c>
      <c r="B16" t="s">
        <v>183</v>
      </c>
      <c r="C16" s="62" t="s">
        <v>176</v>
      </c>
      <c r="E16" s="63" t="s">
        <v>176</v>
      </c>
      <c r="G16" s="64">
        <v>0</v>
      </c>
      <c r="H16" s="64">
        <v>640.72168555933945</v>
      </c>
      <c r="I16" s="64">
        <v>23026.87288080667</v>
      </c>
      <c r="J16" s="64">
        <v>0</v>
      </c>
      <c r="K16" s="64">
        <v>36.80039019540903</v>
      </c>
      <c r="L16" s="64">
        <v>0</v>
      </c>
      <c r="M16" s="64">
        <v>631.26915893304749</v>
      </c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</row>
    <row r="17" spans="1:35">
      <c r="A17" t="s">
        <v>190</v>
      </c>
      <c r="B17" t="s">
        <v>191</v>
      </c>
      <c r="C17" s="62" t="s">
        <v>176</v>
      </c>
      <c r="E17" s="63" t="s">
        <v>176</v>
      </c>
      <c r="G17" s="64">
        <v>272.55489150707797</v>
      </c>
      <c r="H17" s="64">
        <v>229.51823732388584</v>
      </c>
      <c r="I17" s="64">
        <v>4775.1662253700715</v>
      </c>
      <c r="J17" s="64">
        <v>30.851153887691545</v>
      </c>
      <c r="K17" s="64">
        <v>118.56805845909145</v>
      </c>
      <c r="L17" s="64">
        <v>368.36853105556054</v>
      </c>
      <c r="M17" s="64">
        <v>500.73621249438571</v>
      </c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</row>
    <row r="18" spans="1:35">
      <c r="A18" t="s">
        <v>190</v>
      </c>
      <c r="B18" t="s">
        <v>192</v>
      </c>
      <c r="C18" s="62" t="s">
        <v>176</v>
      </c>
      <c r="E18" s="63" t="s">
        <v>176</v>
      </c>
      <c r="G18" s="64">
        <v>976.32297065697207</v>
      </c>
      <c r="H18" s="64">
        <v>229.5182373238859</v>
      </c>
      <c r="I18" s="64">
        <v>5032.6883382482374</v>
      </c>
      <c r="J18" s="64">
        <v>38.132620098675687</v>
      </c>
      <c r="K18" s="64">
        <v>118.56805845909145</v>
      </c>
      <c r="L18" s="64">
        <v>7033.9020929628714</v>
      </c>
      <c r="M18" s="64">
        <v>500.73621249438577</v>
      </c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</row>
    <row r="19" spans="1:35">
      <c r="A19" t="s">
        <v>190</v>
      </c>
      <c r="B19" t="s">
        <v>193</v>
      </c>
      <c r="C19" s="62" t="s">
        <v>176</v>
      </c>
      <c r="E19" s="63" t="s">
        <v>176</v>
      </c>
      <c r="G19" s="64">
        <v>0</v>
      </c>
      <c r="H19" s="64">
        <v>229.51823732388584</v>
      </c>
      <c r="I19" s="64">
        <v>4441.2889352459242</v>
      </c>
      <c r="J19" s="64">
        <v>0</v>
      </c>
      <c r="K19" s="64">
        <v>118.56805845909146</v>
      </c>
      <c r="L19" s="64">
        <v>0</v>
      </c>
      <c r="M19" s="64">
        <v>500.7362124943856</v>
      </c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</row>
    <row r="20" spans="1:35">
      <c r="A20" t="s">
        <v>190</v>
      </c>
      <c r="B20" t="s">
        <v>194</v>
      </c>
      <c r="C20" s="62" t="s">
        <v>176</v>
      </c>
      <c r="E20" s="63" t="s">
        <v>176</v>
      </c>
      <c r="G20" s="64">
        <v>269.46253908415571</v>
      </c>
      <c r="H20" s="64">
        <v>229.51823732388584</v>
      </c>
      <c r="I20" s="64">
        <v>5455.4489104323238</v>
      </c>
      <c r="J20" s="64">
        <v>66.209974498281426</v>
      </c>
      <c r="K20" s="64">
        <v>118.56805845909147</v>
      </c>
      <c r="L20" s="64">
        <v>363.48035924160104</v>
      </c>
      <c r="M20" s="64">
        <v>500.7362124943856</v>
      </c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</row>
    <row r="21" spans="1:35">
      <c r="A21" t="s">
        <v>190</v>
      </c>
      <c r="B21" t="s">
        <v>195</v>
      </c>
      <c r="C21" s="62" t="s">
        <v>176</v>
      </c>
      <c r="E21" s="63" t="s">
        <v>176</v>
      </c>
      <c r="G21" s="64">
        <v>498.0324883413133</v>
      </c>
      <c r="H21" s="64">
        <v>229.48258123606172</v>
      </c>
      <c r="I21" s="64">
        <v>4940.3370428172511</v>
      </c>
      <c r="J21" s="64">
        <v>47.715789770921752</v>
      </c>
      <c r="K21" s="64">
        <v>118.54963868925158</v>
      </c>
      <c r="L21" s="64">
        <v>52.976403122726573</v>
      </c>
      <c r="M21" s="64">
        <v>500.65842218640154</v>
      </c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</row>
    <row r="22" spans="1:35">
      <c r="A22" t="s">
        <v>190</v>
      </c>
      <c r="B22" t="s">
        <v>196</v>
      </c>
      <c r="C22" s="62" t="s">
        <v>176</v>
      </c>
      <c r="E22" s="63" t="s">
        <v>176</v>
      </c>
      <c r="G22" s="64">
        <v>0</v>
      </c>
      <c r="H22" s="64">
        <v>0</v>
      </c>
      <c r="I22" s="64">
        <v>0</v>
      </c>
      <c r="J22" s="64">
        <v>0</v>
      </c>
      <c r="K22" s="64">
        <v>0</v>
      </c>
      <c r="L22" s="64">
        <v>0</v>
      </c>
      <c r="M22" s="64">
        <v>0</v>
      </c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</row>
    <row r="23" spans="1:35">
      <c r="A23" t="s">
        <v>190</v>
      </c>
      <c r="B23" t="s">
        <v>197</v>
      </c>
      <c r="C23" s="62" t="s">
        <v>176</v>
      </c>
      <c r="E23" s="63" t="s">
        <v>176</v>
      </c>
      <c r="G23" s="64">
        <v>208.08554562383608</v>
      </c>
      <c r="H23" s="64">
        <v>229.51823732388584</v>
      </c>
      <c r="I23" s="64">
        <v>4704.8378989048233</v>
      </c>
      <c r="J23" s="64">
        <v>26.994700186219735</v>
      </c>
      <c r="K23" s="64">
        <v>118.56805845909146</v>
      </c>
      <c r="L23" s="64">
        <v>188.07384729981374</v>
      </c>
      <c r="M23" s="64">
        <v>500.73621249438565</v>
      </c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</row>
    <row r="24" spans="1:35">
      <c r="A24" t="s">
        <v>190</v>
      </c>
      <c r="B24" t="s">
        <v>198</v>
      </c>
      <c r="C24" s="62" t="s">
        <v>176</v>
      </c>
      <c r="E24" s="63" t="s">
        <v>176</v>
      </c>
      <c r="G24" s="64">
        <v>26.801765704584042</v>
      </c>
      <c r="H24" s="64">
        <v>229.51823732388578</v>
      </c>
      <c r="I24" s="64">
        <v>5375.9903419791717</v>
      </c>
      <c r="J24" s="64">
        <v>0</v>
      </c>
      <c r="K24" s="64">
        <v>118.56805845909143</v>
      </c>
      <c r="L24" s="64">
        <v>1755.0761678389522</v>
      </c>
      <c r="M24" s="64">
        <v>500.7362124943856</v>
      </c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</row>
    <row r="25" spans="1:35">
      <c r="A25" t="s">
        <v>190</v>
      </c>
      <c r="B25" t="s">
        <v>199</v>
      </c>
      <c r="C25" s="62" t="s">
        <v>176</v>
      </c>
      <c r="E25" s="63" t="s">
        <v>176</v>
      </c>
      <c r="G25" s="64">
        <v>166.61538804052299</v>
      </c>
      <c r="H25" s="64">
        <v>189.99153216699577</v>
      </c>
      <c r="I25" s="64">
        <v>4245.3612108750158</v>
      </c>
      <c r="J25" s="64">
        <v>3.4992500139851668</v>
      </c>
      <c r="K25" s="64">
        <v>98.148745630700006</v>
      </c>
      <c r="L25" s="64">
        <v>511.83170360228621</v>
      </c>
      <c r="M25" s="64">
        <v>414.50144150878748</v>
      </c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</row>
    <row r="26" spans="1:35">
      <c r="A26" t="s">
        <v>200</v>
      </c>
      <c r="B26" t="s">
        <v>201</v>
      </c>
      <c r="C26" s="62" t="s">
        <v>176</v>
      </c>
      <c r="E26" s="63" t="s">
        <v>176</v>
      </c>
      <c r="G26" s="64">
        <v>1638.3392820388669</v>
      </c>
      <c r="H26" s="64">
        <v>392.30300602645337</v>
      </c>
      <c r="I26" s="64">
        <v>7780.3351521495861</v>
      </c>
      <c r="J26" s="64">
        <v>132.40342309778885</v>
      </c>
      <c r="K26" s="64">
        <v>45.121080128950517</v>
      </c>
      <c r="L26" s="64">
        <v>1248.8656256350773</v>
      </c>
      <c r="M26" s="64">
        <v>412.18939138809526</v>
      </c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</row>
    <row r="27" spans="1:35">
      <c r="A27" t="s">
        <v>200</v>
      </c>
      <c r="B27" t="s">
        <v>202</v>
      </c>
      <c r="C27" s="62" t="s">
        <v>176</v>
      </c>
      <c r="E27" s="63" t="s">
        <v>176</v>
      </c>
      <c r="G27" s="64">
        <v>1069.9668162893611</v>
      </c>
      <c r="H27" s="64">
        <v>372.02410600897662</v>
      </c>
      <c r="I27" s="64">
        <v>7836.6504970278056</v>
      </c>
      <c r="J27" s="64">
        <v>50.212839956083386</v>
      </c>
      <c r="K27" s="64">
        <v>45.12108012895051</v>
      </c>
      <c r="L27" s="64">
        <v>2041.5991404005174</v>
      </c>
      <c r="M27" s="64">
        <v>412.18939138809526</v>
      </c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</row>
    <row r="28" spans="1:35">
      <c r="A28" t="s">
        <v>200</v>
      </c>
      <c r="B28" t="s">
        <v>203</v>
      </c>
      <c r="C28" s="62" t="s">
        <v>176</v>
      </c>
      <c r="E28" s="63" t="s">
        <v>176</v>
      </c>
      <c r="G28" s="64">
        <v>538.54589767782636</v>
      </c>
      <c r="H28" s="64">
        <v>387.15673156439408</v>
      </c>
      <c r="I28" s="64">
        <v>7655.6861562579361</v>
      </c>
      <c r="J28" s="64">
        <v>25.820970724322006</v>
      </c>
      <c r="K28" s="64">
        <v>45.121080128950517</v>
      </c>
      <c r="L28" s="64">
        <v>431.95190207526701</v>
      </c>
      <c r="M28" s="64">
        <v>412.1893913880952</v>
      </c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</row>
    <row r="29" spans="1:35">
      <c r="A29" t="s">
        <v>200</v>
      </c>
      <c r="B29" t="s">
        <v>204</v>
      </c>
      <c r="C29" s="62" t="s">
        <v>176</v>
      </c>
      <c r="E29" s="63" t="s">
        <v>176</v>
      </c>
      <c r="G29" s="64">
        <v>588.60445160349934</v>
      </c>
      <c r="H29" s="64">
        <v>352.05076394548456</v>
      </c>
      <c r="I29" s="64">
        <v>6659.2524831698511</v>
      </c>
      <c r="J29" s="64">
        <v>237.12983059352936</v>
      </c>
      <c r="K29" s="64">
        <v>44.079824433667042</v>
      </c>
      <c r="L29" s="64">
        <v>1041.7993922794676</v>
      </c>
      <c r="M29" s="64">
        <v>402.67732850990836</v>
      </c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</row>
    <row r="30" spans="1:35">
      <c r="A30" t="s">
        <v>200</v>
      </c>
      <c r="B30" t="s">
        <v>200</v>
      </c>
      <c r="C30" s="62" t="s">
        <v>176</v>
      </c>
      <c r="E30" s="63" t="s">
        <v>176</v>
      </c>
      <c r="G30" s="64">
        <v>0</v>
      </c>
      <c r="H30" s="64">
        <v>0</v>
      </c>
      <c r="I30" s="64">
        <v>0</v>
      </c>
      <c r="J30" s="64">
        <v>0</v>
      </c>
      <c r="K30" s="64">
        <v>0</v>
      </c>
      <c r="L30" s="64">
        <v>0</v>
      </c>
      <c r="M30" s="64">
        <v>0</v>
      </c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  <c r="AG30" s="64"/>
      <c r="AH30" s="64"/>
      <c r="AI30" s="64"/>
    </row>
    <row r="31" spans="1:35">
      <c r="A31" t="s">
        <v>174</v>
      </c>
      <c r="B31" t="s">
        <v>175</v>
      </c>
      <c r="D31" t="s">
        <v>176</v>
      </c>
      <c r="E31" s="63" t="s">
        <v>176</v>
      </c>
      <c r="G31" s="64">
        <v>212.45707075597727</v>
      </c>
      <c r="H31" s="64">
        <v>61.05358126934803</v>
      </c>
      <c r="I31" s="64">
        <v>4487.8984590891641</v>
      </c>
      <c r="J31" s="64">
        <v>20.041144114174763</v>
      </c>
      <c r="K31" s="64">
        <v>5.3419150464386869</v>
      </c>
      <c r="L31" s="64">
        <v>312.04317537515914</v>
      </c>
      <c r="M31" s="64">
        <v>193.22714127262535</v>
      </c>
    </row>
    <row r="32" spans="1:35">
      <c r="A32" t="s">
        <v>174</v>
      </c>
      <c r="B32" t="s">
        <v>177</v>
      </c>
      <c r="D32" t="s">
        <v>176</v>
      </c>
      <c r="E32" s="63" t="s">
        <v>176</v>
      </c>
      <c r="G32" s="64">
        <v>455.12051649413138</v>
      </c>
      <c r="H32" s="64">
        <v>61.053581269348037</v>
      </c>
      <c r="I32" s="64">
        <v>4917.6777716833076</v>
      </c>
      <c r="J32" s="64">
        <v>43.329245096327362</v>
      </c>
      <c r="K32" s="64">
        <v>5.3419150464386878</v>
      </c>
      <c r="L32" s="64">
        <v>695.83782084861195</v>
      </c>
      <c r="M32" s="64">
        <v>193.22714127262535</v>
      </c>
    </row>
    <row r="33" spans="1:13">
      <c r="A33" t="s">
        <v>174</v>
      </c>
      <c r="B33" t="s">
        <v>178</v>
      </c>
      <c r="D33" t="s">
        <v>176</v>
      </c>
      <c r="E33" s="63" t="s">
        <v>176</v>
      </c>
      <c r="G33" s="64">
        <v>1256.6527819579592</v>
      </c>
      <c r="H33" s="64">
        <v>61.053581269348051</v>
      </c>
      <c r="I33" s="64">
        <v>3974.6008858192317</v>
      </c>
      <c r="J33" s="64">
        <v>87.301516085700371</v>
      </c>
      <c r="K33" s="64">
        <v>5.3419150464386895</v>
      </c>
      <c r="L33" s="64">
        <v>370.36497589197359</v>
      </c>
      <c r="M33" s="64">
        <v>193.22714127262549</v>
      </c>
    </row>
    <row r="34" spans="1:13">
      <c r="A34" t="s">
        <v>174</v>
      </c>
      <c r="B34" t="s">
        <v>179</v>
      </c>
      <c r="D34" t="s">
        <v>176</v>
      </c>
      <c r="E34" s="63" t="s">
        <v>176</v>
      </c>
      <c r="G34" s="64">
        <v>405.37537403145905</v>
      </c>
      <c r="H34" s="64">
        <v>61.053581269348022</v>
      </c>
      <c r="I34" s="64">
        <v>4168.3390496921647</v>
      </c>
      <c r="J34" s="64">
        <v>7.6877874736770293</v>
      </c>
      <c r="K34" s="64">
        <v>5.3419150464386851</v>
      </c>
      <c r="L34" s="64">
        <v>381.53706883687596</v>
      </c>
      <c r="M34" s="64">
        <v>193.22714127262532</v>
      </c>
    </row>
    <row r="35" spans="1:13">
      <c r="A35" t="s">
        <v>174</v>
      </c>
      <c r="B35" t="s">
        <v>180</v>
      </c>
      <c r="D35" t="s">
        <v>176</v>
      </c>
      <c r="E35" s="63" t="s">
        <v>176</v>
      </c>
      <c r="G35" s="64">
        <v>394.35196113987905</v>
      </c>
      <c r="H35" s="64">
        <v>61.04869977790252</v>
      </c>
      <c r="I35" s="64">
        <v>4866.8091783710279</v>
      </c>
      <c r="J35" s="64">
        <v>10.998518555097307</v>
      </c>
      <c r="K35" s="64">
        <v>5.3414879377898696</v>
      </c>
      <c r="L35" s="64">
        <v>302.7648508145241</v>
      </c>
      <c r="M35" s="64">
        <v>193.21169194733523</v>
      </c>
    </row>
    <row r="36" spans="1:13">
      <c r="A36" t="s">
        <v>174</v>
      </c>
      <c r="B36" t="s">
        <v>181</v>
      </c>
      <c r="D36" t="s">
        <v>176</v>
      </c>
      <c r="E36" s="63" t="s">
        <v>176</v>
      </c>
      <c r="G36" s="64">
        <v>1431.4613437449732</v>
      </c>
      <c r="H36" s="64">
        <v>61.041801485391574</v>
      </c>
      <c r="I36" s="64">
        <v>5361.1273250807644</v>
      </c>
      <c r="J36" s="64">
        <v>253.53101794303316</v>
      </c>
      <c r="K36" s="64">
        <v>5.3408843680762983</v>
      </c>
      <c r="L36" s="64">
        <v>651.74433273914008</v>
      </c>
      <c r="M36" s="64">
        <v>193.18985969255436</v>
      </c>
    </row>
    <row r="37" spans="1:13">
      <c r="A37" t="s">
        <v>174</v>
      </c>
      <c r="B37" t="s">
        <v>182</v>
      </c>
      <c r="D37" t="s">
        <v>176</v>
      </c>
      <c r="E37" s="63" t="s">
        <v>176</v>
      </c>
      <c r="G37" s="64">
        <v>2147.690355237386</v>
      </c>
      <c r="H37" s="64">
        <v>61.053581269348008</v>
      </c>
      <c r="I37" s="64">
        <v>6576.2932249275182</v>
      </c>
      <c r="J37" s="64">
        <v>531.12128707230306</v>
      </c>
      <c r="K37" s="64">
        <v>5.3419150464386878</v>
      </c>
      <c r="L37" s="64">
        <v>1564.5087825800074</v>
      </c>
      <c r="M37" s="64">
        <v>193.22714127262526</v>
      </c>
    </row>
    <row r="38" spans="1:13">
      <c r="A38" t="s">
        <v>183</v>
      </c>
      <c r="B38" t="s">
        <v>184</v>
      </c>
      <c r="D38" t="s">
        <v>176</v>
      </c>
      <c r="E38" s="63" t="s">
        <v>176</v>
      </c>
      <c r="G38" s="64">
        <v>362.94821435660896</v>
      </c>
      <c r="H38" s="64">
        <v>288.13065640104605</v>
      </c>
      <c r="I38" s="64">
        <v>5146.8176550185672</v>
      </c>
      <c r="J38" s="64">
        <v>5.164296977075141</v>
      </c>
      <c r="K38" s="64">
        <v>36.800390195409022</v>
      </c>
      <c r="L38" s="64">
        <v>126.12820126540925</v>
      </c>
      <c r="M38" s="64">
        <v>473.58698790117614</v>
      </c>
    </row>
    <row r="39" spans="1:13">
      <c r="A39" t="s">
        <v>183</v>
      </c>
      <c r="B39" t="s">
        <v>185</v>
      </c>
      <c r="D39" t="s">
        <v>176</v>
      </c>
      <c r="E39" s="63" t="s">
        <v>176</v>
      </c>
      <c r="G39" s="64">
        <v>443.34457572581545</v>
      </c>
      <c r="H39" s="64">
        <v>271.1788677899857</v>
      </c>
      <c r="I39" s="64">
        <v>4756.3826507654076</v>
      </c>
      <c r="J39" s="64">
        <v>27.063532328245394</v>
      </c>
      <c r="K39" s="64">
        <v>36.769131881015973</v>
      </c>
      <c r="L39" s="64">
        <v>141.1132063814004</v>
      </c>
      <c r="M39" s="64">
        <v>473.18472230340217</v>
      </c>
    </row>
    <row r="40" spans="1:13">
      <c r="A40" t="s">
        <v>183</v>
      </c>
      <c r="B40" t="s">
        <v>186</v>
      </c>
      <c r="D40" t="s">
        <v>176</v>
      </c>
      <c r="E40" s="63" t="s">
        <v>176</v>
      </c>
      <c r="G40" s="64">
        <v>1065.9073178354597</v>
      </c>
      <c r="H40" s="64">
        <v>315.04360657464485</v>
      </c>
      <c r="I40" s="64">
        <v>5404.3074900380589</v>
      </c>
      <c r="J40" s="64">
        <v>19.369107905360213</v>
      </c>
      <c r="K40" s="64">
        <v>36.800390195409037</v>
      </c>
      <c r="L40" s="64">
        <v>183.86334835254672</v>
      </c>
      <c r="M40" s="64">
        <v>473.5869879011762</v>
      </c>
    </row>
    <row r="41" spans="1:13">
      <c r="A41" t="s">
        <v>183</v>
      </c>
      <c r="B41" t="s">
        <v>187</v>
      </c>
      <c r="D41" t="s">
        <v>176</v>
      </c>
      <c r="E41" s="63" t="s">
        <v>176</v>
      </c>
      <c r="G41" s="64">
        <v>632.79648706096259</v>
      </c>
      <c r="H41" s="64">
        <v>284.86102414666647</v>
      </c>
      <c r="I41" s="64">
        <v>5104.3031141681558</v>
      </c>
      <c r="J41" s="64">
        <v>20.725132002142644</v>
      </c>
      <c r="K41" s="64">
        <v>36.800390195409037</v>
      </c>
      <c r="L41" s="64">
        <v>157.05347042784592</v>
      </c>
      <c r="M41" s="64">
        <v>473.5869879011762</v>
      </c>
    </row>
    <row r="42" spans="1:13">
      <c r="A42" t="s">
        <v>183</v>
      </c>
      <c r="B42" t="s">
        <v>188</v>
      </c>
      <c r="D42" t="s">
        <v>176</v>
      </c>
      <c r="E42" s="63" t="s">
        <v>176</v>
      </c>
      <c r="G42" s="64">
        <v>332.17170053402685</v>
      </c>
      <c r="H42" s="64">
        <v>277.82068793313238</v>
      </c>
      <c r="I42" s="64">
        <v>4968.906361433028</v>
      </c>
      <c r="J42" s="64">
        <v>15.210754411417513</v>
      </c>
      <c r="K42" s="64">
        <v>36.80039019540903</v>
      </c>
      <c r="L42" s="64">
        <v>100.79205160642753</v>
      </c>
      <c r="M42" s="64">
        <v>473.5869879011762</v>
      </c>
    </row>
    <row r="43" spans="1:13">
      <c r="A43" t="s">
        <v>183</v>
      </c>
      <c r="B43" t="s">
        <v>189</v>
      </c>
      <c r="D43" t="s">
        <v>176</v>
      </c>
      <c r="E43" s="63" t="s">
        <v>176</v>
      </c>
      <c r="G43" s="64">
        <v>464.21193793767532</v>
      </c>
      <c r="H43" s="64">
        <v>278.25874712258974</v>
      </c>
      <c r="I43" s="64">
        <v>4878.2070119761993</v>
      </c>
      <c r="J43" s="64">
        <v>1.2710912072690794</v>
      </c>
      <c r="K43" s="64">
        <v>36.80039019540903</v>
      </c>
      <c r="L43" s="64">
        <v>129.98508811181688</v>
      </c>
      <c r="M43" s="64">
        <v>473.58698790117609</v>
      </c>
    </row>
    <row r="44" spans="1:13">
      <c r="A44" t="s">
        <v>183</v>
      </c>
      <c r="B44" t="s">
        <v>183</v>
      </c>
      <c r="D44" t="s">
        <v>176</v>
      </c>
      <c r="E44" s="63" t="s">
        <v>176</v>
      </c>
      <c r="G44" s="64">
        <v>0</v>
      </c>
      <c r="H44" s="64">
        <v>302.55291608585713</v>
      </c>
      <c r="I44" s="64">
        <v>25360.676669182092</v>
      </c>
      <c r="J44" s="64">
        <v>0</v>
      </c>
      <c r="K44" s="64">
        <v>36.800390195409037</v>
      </c>
      <c r="L44" s="64">
        <v>15.843671258325577</v>
      </c>
      <c r="M44" s="64">
        <v>473.58698790117626</v>
      </c>
    </row>
    <row r="45" spans="1:13">
      <c r="A45" t="s">
        <v>190</v>
      </c>
      <c r="B45" t="s">
        <v>191</v>
      </c>
      <c r="D45" t="s">
        <v>176</v>
      </c>
      <c r="E45" s="63" t="s">
        <v>176</v>
      </c>
      <c r="G45" s="64">
        <v>272.35721164639637</v>
      </c>
      <c r="H45" s="64">
        <v>229.35177128496372</v>
      </c>
      <c r="I45" s="64">
        <v>4749.3186746420542</v>
      </c>
      <c r="J45" s="64">
        <v>30.828778021426022</v>
      </c>
      <c r="K45" s="64">
        <v>118.48206287432011</v>
      </c>
      <c r="L45" s="64">
        <v>368.10135903932593</v>
      </c>
      <c r="M45" s="64">
        <v>500.373036239589</v>
      </c>
    </row>
    <row r="46" spans="1:13">
      <c r="A46" t="s">
        <v>190</v>
      </c>
      <c r="B46" t="s">
        <v>192</v>
      </c>
      <c r="D46" t="s">
        <v>176</v>
      </c>
      <c r="E46" s="63" t="s">
        <v>176</v>
      </c>
      <c r="G46" s="64">
        <v>976.32297065697207</v>
      </c>
      <c r="H46" s="64">
        <v>229.51823732388581</v>
      </c>
      <c r="I46" s="64">
        <v>5282.089017781348</v>
      </c>
      <c r="J46" s="64">
        <v>38.13262009867568</v>
      </c>
      <c r="K46" s="64">
        <v>118.56805845909145</v>
      </c>
      <c r="L46" s="64">
        <v>7033.9020929628687</v>
      </c>
      <c r="M46" s="64">
        <v>500.73621249438571</v>
      </c>
    </row>
    <row r="47" spans="1:13">
      <c r="A47" t="s">
        <v>190</v>
      </c>
      <c r="B47" t="s">
        <v>193</v>
      </c>
      <c r="D47" t="s">
        <v>176</v>
      </c>
      <c r="E47" s="63" t="s">
        <v>176</v>
      </c>
      <c r="G47" s="64">
        <v>0</v>
      </c>
      <c r="H47" s="64">
        <v>175.05628270465868</v>
      </c>
      <c r="I47" s="64">
        <v>4435.8385989475901</v>
      </c>
      <c r="J47" s="64">
        <v>0</v>
      </c>
      <c r="K47" s="64">
        <v>90.433264926425707</v>
      </c>
      <c r="L47" s="64">
        <v>0</v>
      </c>
      <c r="M47" s="64">
        <v>381.91745020758231</v>
      </c>
    </row>
    <row r="48" spans="1:13">
      <c r="A48" t="s">
        <v>190</v>
      </c>
      <c r="B48" t="s">
        <v>194</v>
      </c>
      <c r="D48" t="s">
        <v>176</v>
      </c>
      <c r="E48" s="63" t="s">
        <v>176</v>
      </c>
      <c r="G48" s="64">
        <v>269.46253908415576</v>
      </c>
      <c r="H48" s="64">
        <v>229.51823732388584</v>
      </c>
      <c r="I48" s="64">
        <v>5385.3107237404374</v>
      </c>
      <c r="J48" s="64">
        <v>66.209974498281412</v>
      </c>
      <c r="K48" s="64">
        <v>118.56805845909143</v>
      </c>
      <c r="L48" s="64">
        <v>363.48035924160104</v>
      </c>
      <c r="M48" s="64">
        <v>500.7362124943856</v>
      </c>
    </row>
    <row r="49" spans="1:13">
      <c r="A49" t="s">
        <v>190</v>
      </c>
      <c r="B49" t="s">
        <v>195</v>
      </c>
      <c r="D49" t="s">
        <v>176</v>
      </c>
      <c r="E49" s="63" t="s">
        <v>176</v>
      </c>
      <c r="G49" s="64">
        <v>498.11111634084125</v>
      </c>
      <c r="H49" s="64">
        <v>229.51823732388581</v>
      </c>
      <c r="I49" s="64">
        <v>5036.5554028226989</v>
      </c>
      <c r="J49" s="64">
        <v>47.723203659947679</v>
      </c>
      <c r="K49" s="64">
        <v>118.56805845909142</v>
      </c>
      <c r="L49" s="64">
        <v>52.984634384864961</v>
      </c>
      <c r="M49" s="64">
        <v>500.73621249438571</v>
      </c>
    </row>
    <row r="50" spans="1:13">
      <c r="A50" t="s">
        <v>190</v>
      </c>
      <c r="B50" t="s">
        <v>196</v>
      </c>
      <c r="D50" t="s">
        <v>176</v>
      </c>
      <c r="E50" s="63" t="s">
        <v>176</v>
      </c>
      <c r="G50" s="64">
        <v>374.08764825647631</v>
      </c>
      <c r="H50" s="64">
        <v>229.23023803730499</v>
      </c>
      <c r="I50" s="64">
        <v>4884.7659879742268</v>
      </c>
      <c r="J50" s="64">
        <v>25.74234722897182</v>
      </c>
      <c r="K50" s="64">
        <v>118.41927936142301</v>
      </c>
      <c r="L50" s="64">
        <v>307.00408586360066</v>
      </c>
      <c r="M50" s="64">
        <v>500.10788912607688</v>
      </c>
    </row>
    <row r="51" spans="1:13">
      <c r="A51" t="s">
        <v>190</v>
      </c>
      <c r="B51" t="s">
        <v>197</v>
      </c>
      <c r="D51" t="s">
        <v>176</v>
      </c>
      <c r="E51" s="63" t="s">
        <v>176</v>
      </c>
      <c r="G51" s="64">
        <v>208.08554562383611</v>
      </c>
      <c r="H51" s="64">
        <v>229.51823732388587</v>
      </c>
      <c r="I51" s="64">
        <v>4697.6835886412</v>
      </c>
      <c r="J51" s="64">
        <v>26.994700186219738</v>
      </c>
      <c r="K51" s="64">
        <v>118.56805845909146</v>
      </c>
      <c r="L51" s="64">
        <v>188.07384729981374</v>
      </c>
      <c r="M51" s="64">
        <v>500.73621249438571</v>
      </c>
    </row>
    <row r="52" spans="1:13">
      <c r="A52" t="s">
        <v>190</v>
      </c>
      <c r="B52" t="s">
        <v>198</v>
      </c>
      <c r="D52" t="s">
        <v>176</v>
      </c>
      <c r="E52" s="63" t="s">
        <v>176</v>
      </c>
      <c r="G52" s="64">
        <v>42.873169426468053</v>
      </c>
      <c r="H52" s="64">
        <v>228.87801908867286</v>
      </c>
      <c r="I52" s="64">
        <v>5112.9891748126438</v>
      </c>
      <c r="J52" s="64">
        <v>0</v>
      </c>
      <c r="K52" s="64">
        <v>118.23732468375229</v>
      </c>
      <c r="L52" s="64">
        <v>1750.1805578868211</v>
      </c>
      <c r="M52" s="64">
        <v>499.3394587635787</v>
      </c>
    </row>
    <row r="53" spans="1:13">
      <c r="A53" t="s">
        <v>190</v>
      </c>
      <c r="B53" t="s">
        <v>199</v>
      </c>
      <c r="D53" t="s">
        <v>176</v>
      </c>
      <c r="E53" s="63" t="s">
        <v>176</v>
      </c>
      <c r="G53" s="64">
        <v>167.91555461890948</v>
      </c>
      <c r="H53" s="64">
        <v>229.51823732388596</v>
      </c>
      <c r="I53" s="64">
        <v>4748.3788921860078</v>
      </c>
      <c r="J53" s="64">
        <v>4.2272499516427136</v>
      </c>
      <c r="K53" s="64">
        <v>118.56805845909145</v>
      </c>
      <c r="L53" s="64">
        <v>618.31550636700081</v>
      </c>
      <c r="M53" s="64">
        <v>500.73621249438565</v>
      </c>
    </row>
    <row r="54" spans="1:13">
      <c r="A54" t="s">
        <v>200</v>
      </c>
      <c r="B54" t="s">
        <v>201</v>
      </c>
      <c r="D54" t="s">
        <v>176</v>
      </c>
      <c r="E54" s="63" t="s">
        <v>176</v>
      </c>
      <c r="G54" s="64">
        <v>1023.4185420058476</v>
      </c>
      <c r="H54" s="64">
        <v>350.3208958425991</v>
      </c>
      <c r="I54" s="64">
        <v>6643.0762198080538</v>
      </c>
      <c r="J54" s="64">
        <v>132.3366079003217</v>
      </c>
      <c r="K54" s="64">
        <v>45.098310522181983</v>
      </c>
      <c r="L54" s="64">
        <v>1248.2354062537772</v>
      </c>
      <c r="M54" s="64">
        <v>411.98138682948866</v>
      </c>
    </row>
    <row r="55" spans="1:13">
      <c r="A55" t="s">
        <v>200</v>
      </c>
      <c r="B55" t="s">
        <v>202</v>
      </c>
      <c r="D55" t="s">
        <v>176</v>
      </c>
      <c r="E55" s="63" t="s">
        <v>176</v>
      </c>
      <c r="G55" s="64">
        <v>1072.3146135314662</v>
      </c>
      <c r="H55" s="64">
        <v>342.96106995527884</v>
      </c>
      <c r="I55" s="64">
        <v>6996.9193228969343</v>
      </c>
      <c r="J55" s="64">
        <v>50.2128399560834</v>
      </c>
      <c r="K55" s="64">
        <v>45.121080128950517</v>
      </c>
      <c r="L55" s="64">
        <v>2041.5991404005176</v>
      </c>
      <c r="M55" s="64">
        <v>412.18939138809515</v>
      </c>
    </row>
    <row r="56" spans="1:13">
      <c r="A56" t="s">
        <v>200</v>
      </c>
      <c r="B56" t="s">
        <v>203</v>
      </c>
      <c r="D56" t="s">
        <v>176</v>
      </c>
      <c r="E56" s="63" t="s">
        <v>176</v>
      </c>
      <c r="G56" s="64">
        <v>565.44551842512556</v>
      </c>
      <c r="H56" s="64">
        <v>344.03734440628415</v>
      </c>
      <c r="I56" s="64">
        <v>6236.5528481719266</v>
      </c>
      <c r="J56" s="64">
        <v>25.820970724321995</v>
      </c>
      <c r="K56" s="64">
        <v>45.121080128950517</v>
      </c>
      <c r="L56" s="64">
        <v>431.95190207526684</v>
      </c>
      <c r="M56" s="64">
        <v>412.1893913880952</v>
      </c>
    </row>
    <row r="57" spans="1:13">
      <c r="A57" t="s">
        <v>200</v>
      </c>
      <c r="B57" t="s">
        <v>204</v>
      </c>
      <c r="D57" t="s">
        <v>176</v>
      </c>
      <c r="E57" s="63" t="s">
        <v>176</v>
      </c>
      <c r="G57" s="64">
        <v>602.31768052500661</v>
      </c>
      <c r="H57" s="64">
        <v>339.27974468425293</v>
      </c>
      <c r="I57" s="64">
        <v>6246.446845446053</v>
      </c>
      <c r="J57" s="64">
        <v>242.6544501273921</v>
      </c>
      <c r="K57" s="64">
        <v>45.106790372561981</v>
      </c>
      <c r="L57" s="64">
        <v>1066.0710971870596</v>
      </c>
      <c r="M57" s="64">
        <v>412.05885182716173</v>
      </c>
    </row>
    <row r="58" spans="1:13">
      <c r="A58" t="s">
        <v>200</v>
      </c>
      <c r="B58" t="s">
        <v>200</v>
      </c>
      <c r="D58" t="s">
        <v>176</v>
      </c>
      <c r="E58" s="63" t="s">
        <v>176</v>
      </c>
      <c r="G58" s="64">
        <v>0</v>
      </c>
      <c r="H58" s="64">
        <v>340.30996462060318</v>
      </c>
      <c r="I58" s="64">
        <v>5580.3236122343842</v>
      </c>
      <c r="J58" s="64">
        <v>0</v>
      </c>
      <c r="K58" s="64">
        <v>45.12108012895051</v>
      </c>
      <c r="L58" s="64">
        <v>7116.9230769230771</v>
      </c>
      <c r="M58" s="64">
        <v>412.18939138809526</v>
      </c>
    </row>
    <row r="59" spans="1:13">
      <c r="A59" t="s">
        <v>174</v>
      </c>
      <c r="B59" t="s">
        <v>175</v>
      </c>
      <c r="C59" t="s">
        <v>176</v>
      </c>
      <c r="E59" s="63"/>
      <c r="F59" t="s">
        <v>176</v>
      </c>
      <c r="G59" s="64">
        <v>821.71719015526162</v>
      </c>
      <c r="H59" s="64">
        <v>61.053581269348022</v>
      </c>
      <c r="I59" s="64">
        <v>3964.934557130005</v>
      </c>
      <c r="J59" s="64">
        <v>20.041144114174767</v>
      </c>
      <c r="K59" s="64">
        <v>5.3419150464386878</v>
      </c>
      <c r="L59" s="64">
        <v>312.04317537515919</v>
      </c>
      <c r="M59" s="64">
        <v>193.22714127262532</v>
      </c>
    </row>
    <row r="60" spans="1:13">
      <c r="A60" t="s">
        <v>174</v>
      </c>
      <c r="B60" t="s">
        <v>177</v>
      </c>
      <c r="C60" t="s">
        <v>176</v>
      </c>
      <c r="E60" s="63"/>
      <c r="F60" t="s">
        <v>176</v>
      </c>
      <c r="G60" s="64">
        <v>500.55437331349032</v>
      </c>
      <c r="H60" s="64">
        <v>60.672525630357626</v>
      </c>
      <c r="I60" s="64">
        <v>4038.373589206642</v>
      </c>
      <c r="J60" s="64">
        <v>43.058812914727518</v>
      </c>
      <c r="K60" s="64">
        <v>5.3085743838742312</v>
      </c>
      <c r="L60" s="64">
        <v>691.49486634955679</v>
      </c>
      <c r="M60" s="64">
        <v>192.02114663222756</v>
      </c>
    </row>
    <row r="61" spans="1:13">
      <c r="A61" t="s">
        <v>174</v>
      </c>
      <c r="B61" t="s">
        <v>178</v>
      </c>
      <c r="C61" t="s">
        <v>176</v>
      </c>
      <c r="E61" s="63"/>
      <c r="F61" t="s">
        <v>176</v>
      </c>
      <c r="G61" s="64">
        <v>0</v>
      </c>
      <c r="H61" s="64">
        <v>0</v>
      </c>
      <c r="I61" s="64">
        <v>0</v>
      </c>
      <c r="J61" s="64">
        <v>0</v>
      </c>
      <c r="K61" s="64">
        <v>0</v>
      </c>
      <c r="L61" s="64">
        <v>0</v>
      </c>
      <c r="M61" s="64">
        <v>0</v>
      </c>
    </row>
    <row r="62" spans="1:13">
      <c r="A62" t="s">
        <v>174</v>
      </c>
      <c r="B62" t="s">
        <v>179</v>
      </c>
      <c r="C62" t="s">
        <v>176</v>
      </c>
      <c r="E62" s="63"/>
      <c r="F62" t="s">
        <v>176</v>
      </c>
      <c r="G62" s="64">
        <v>404.2237408917174</v>
      </c>
      <c r="H62" s="64">
        <v>61.053581269348001</v>
      </c>
      <c r="I62" s="64">
        <v>3900.5879933867964</v>
      </c>
      <c r="J62" s="64">
        <v>7.6877874736770284</v>
      </c>
      <c r="K62" s="64">
        <v>5.3419150464386878</v>
      </c>
      <c r="L62" s="64">
        <v>381.53706883687585</v>
      </c>
      <c r="M62" s="64">
        <v>193.22714127262537</v>
      </c>
    </row>
    <row r="63" spans="1:13">
      <c r="A63" t="s">
        <v>174</v>
      </c>
      <c r="B63" t="s">
        <v>180</v>
      </c>
      <c r="C63" t="s">
        <v>176</v>
      </c>
      <c r="E63" s="63"/>
      <c r="F63" t="s">
        <v>176</v>
      </c>
      <c r="G63" s="64">
        <v>364.18959953786725</v>
      </c>
      <c r="H63" s="64">
        <v>61.053581269348015</v>
      </c>
      <c r="I63" s="64">
        <v>4145.1930813749314</v>
      </c>
      <c r="J63" s="64">
        <v>10.999398003380973</v>
      </c>
      <c r="K63" s="64">
        <v>5.3419150464386878</v>
      </c>
      <c r="L63" s="64">
        <v>302.78906007753244</v>
      </c>
      <c r="M63" s="64">
        <v>193.22714127262532</v>
      </c>
    </row>
    <row r="64" spans="1:13">
      <c r="A64" t="s">
        <v>174</v>
      </c>
      <c r="B64" t="s">
        <v>181</v>
      </c>
      <c r="C64" t="s">
        <v>176</v>
      </c>
      <c r="E64" s="63"/>
      <c r="F64" t="s">
        <v>176</v>
      </c>
      <c r="G64" s="64">
        <v>0</v>
      </c>
      <c r="H64" s="64">
        <v>0</v>
      </c>
      <c r="I64" s="64">
        <v>0</v>
      </c>
      <c r="J64" s="64">
        <v>0</v>
      </c>
      <c r="K64" s="64">
        <v>0</v>
      </c>
      <c r="L64" s="64">
        <v>0</v>
      </c>
      <c r="M64" s="64">
        <v>0</v>
      </c>
    </row>
    <row r="65" spans="1:13">
      <c r="A65" t="s">
        <v>174</v>
      </c>
      <c r="B65" t="s">
        <v>182</v>
      </c>
      <c r="C65" t="s">
        <v>176</v>
      </c>
      <c r="E65" s="63"/>
      <c r="F65" t="s">
        <v>176</v>
      </c>
      <c r="G65" s="64">
        <v>1809.833348729793</v>
      </c>
      <c r="H65" s="64">
        <v>61.053581269348022</v>
      </c>
      <c r="I65" s="64">
        <v>4162.2685961591724</v>
      </c>
      <c r="J65" s="64">
        <v>380.90586605080824</v>
      </c>
      <c r="K65" s="64">
        <v>5.3419150464386878</v>
      </c>
      <c r="L65" s="64">
        <v>1564.5087825800074</v>
      </c>
      <c r="M65" s="64">
        <v>193.22714127262532</v>
      </c>
    </row>
    <row r="66" spans="1:13">
      <c r="A66" t="s">
        <v>183</v>
      </c>
      <c r="B66" t="s">
        <v>184</v>
      </c>
      <c r="C66" t="s">
        <v>176</v>
      </c>
      <c r="E66" s="63"/>
      <c r="F66" t="s">
        <v>176</v>
      </c>
      <c r="G66" s="64">
        <v>362.94821435660896</v>
      </c>
      <c r="H66" s="64">
        <v>636.58781320556125</v>
      </c>
      <c r="I66" s="64">
        <v>4314.5771020161883</v>
      </c>
      <c r="J66" s="64">
        <v>5.164296977075141</v>
      </c>
      <c r="K66" s="64">
        <v>36.80039019540903</v>
      </c>
      <c r="L66" s="64">
        <v>110.28453000708367</v>
      </c>
      <c r="M66" s="64">
        <v>631.26915893304749</v>
      </c>
    </row>
    <row r="67" spans="1:13">
      <c r="A67" t="s">
        <v>183</v>
      </c>
      <c r="B67" t="s">
        <v>185</v>
      </c>
      <c r="C67" t="s">
        <v>176</v>
      </c>
      <c r="E67" s="63"/>
      <c r="F67" t="s">
        <v>176</v>
      </c>
      <c r="G67" s="64">
        <v>1880.9890971090304</v>
      </c>
      <c r="H67" s="64">
        <v>641.79248526932793</v>
      </c>
      <c r="I67" s="64">
        <v>4461.6040304575463</v>
      </c>
      <c r="J67" s="64">
        <v>27.086539681392605</v>
      </c>
      <c r="K67" s="64">
        <v>36.80039019540903</v>
      </c>
      <c r="L67" s="64">
        <v>1740.9639804780641</v>
      </c>
      <c r="M67" s="64">
        <v>631.26915893304738</v>
      </c>
    </row>
    <row r="68" spans="1:13">
      <c r="A68" t="s">
        <v>183</v>
      </c>
      <c r="B68" t="s">
        <v>186</v>
      </c>
      <c r="C68" t="s">
        <v>176</v>
      </c>
      <c r="E68" s="63"/>
      <c r="F68" t="s">
        <v>176</v>
      </c>
      <c r="G68" s="64">
        <v>0</v>
      </c>
      <c r="H68" s="64">
        <v>0</v>
      </c>
      <c r="I68" s="64">
        <v>0</v>
      </c>
      <c r="J68" s="64">
        <v>0</v>
      </c>
      <c r="K68" s="64">
        <v>0</v>
      </c>
      <c r="L68" s="64">
        <v>0</v>
      </c>
      <c r="M68" s="64">
        <v>0</v>
      </c>
    </row>
    <row r="69" spans="1:13">
      <c r="A69" t="s">
        <v>183</v>
      </c>
      <c r="B69" t="s">
        <v>187</v>
      </c>
      <c r="C69" t="s">
        <v>176</v>
      </c>
      <c r="E69" s="63"/>
      <c r="F69" t="s">
        <v>176</v>
      </c>
      <c r="G69" s="64">
        <v>530.26824986008307</v>
      </c>
      <c r="H69" s="64">
        <v>632.90499936730362</v>
      </c>
      <c r="I69" s="64">
        <v>4274.104392418285</v>
      </c>
      <c r="J69" s="64">
        <v>20.725132002142633</v>
      </c>
      <c r="K69" s="64">
        <v>36.80039019540903</v>
      </c>
      <c r="L69" s="64">
        <v>141.20979916952029</v>
      </c>
      <c r="M69" s="64">
        <v>631.26915893304761</v>
      </c>
    </row>
    <row r="70" spans="1:13">
      <c r="A70" t="s">
        <v>183</v>
      </c>
      <c r="B70" t="s">
        <v>188</v>
      </c>
      <c r="C70" t="s">
        <v>176</v>
      </c>
      <c r="E70" s="63"/>
      <c r="F70" t="s">
        <v>176</v>
      </c>
      <c r="G70" s="64">
        <v>1317.8774581097846</v>
      </c>
      <c r="H70" s="64">
        <v>628.94062450338367</v>
      </c>
      <c r="I70" s="64">
        <v>4176.2135185195293</v>
      </c>
      <c r="J70" s="64">
        <v>15.210754411417515</v>
      </c>
      <c r="K70" s="64">
        <v>36.80039019540903</v>
      </c>
      <c r="L70" s="64">
        <v>84.948380348101921</v>
      </c>
      <c r="M70" s="64">
        <v>631.26915893304749</v>
      </c>
    </row>
    <row r="71" spans="1:13">
      <c r="A71" t="s">
        <v>183</v>
      </c>
      <c r="B71" t="s">
        <v>189</v>
      </c>
      <c r="C71" t="s">
        <v>176</v>
      </c>
      <c r="E71" s="63"/>
      <c r="F71" t="s">
        <v>176</v>
      </c>
      <c r="G71" s="64">
        <v>464.21193793767532</v>
      </c>
      <c r="H71" s="64">
        <v>645.97725379468761</v>
      </c>
      <c r="I71" s="64">
        <v>4488.1456955912363</v>
      </c>
      <c r="J71" s="64">
        <v>1.2710912072690794</v>
      </c>
      <c r="K71" s="64">
        <v>36.800390195409037</v>
      </c>
      <c r="L71" s="64">
        <v>114.14141685349129</v>
      </c>
      <c r="M71" s="64">
        <v>631.26915893304749</v>
      </c>
    </row>
    <row r="72" spans="1:13">
      <c r="A72" t="s">
        <v>183</v>
      </c>
      <c r="B72" t="s">
        <v>183</v>
      </c>
      <c r="C72" t="s">
        <v>176</v>
      </c>
      <c r="E72" s="63"/>
      <c r="F72" t="s">
        <v>176</v>
      </c>
      <c r="G72" s="64">
        <v>0</v>
      </c>
      <c r="H72" s="64">
        <v>0</v>
      </c>
      <c r="I72" s="64">
        <v>0</v>
      </c>
      <c r="J72" s="64">
        <v>0</v>
      </c>
      <c r="K72" s="64">
        <v>0</v>
      </c>
      <c r="L72" s="64">
        <v>0</v>
      </c>
      <c r="M72" s="64">
        <v>0</v>
      </c>
    </row>
    <row r="73" spans="1:13">
      <c r="A73" t="s">
        <v>190</v>
      </c>
      <c r="B73" t="s">
        <v>191</v>
      </c>
      <c r="C73" t="s">
        <v>176</v>
      </c>
      <c r="E73" s="63"/>
      <c r="F73" t="s">
        <v>176</v>
      </c>
      <c r="G73" s="64">
        <v>272.55489150707785</v>
      </c>
      <c r="H73" s="64">
        <v>229.51823732388584</v>
      </c>
      <c r="I73" s="64">
        <v>4089.1693221089085</v>
      </c>
      <c r="J73" s="64">
        <v>30.851153887691549</v>
      </c>
      <c r="K73" s="64">
        <v>118.56805845909146</v>
      </c>
      <c r="L73" s="64">
        <v>368.36853105556025</v>
      </c>
      <c r="M73" s="64">
        <v>500.73621249438565</v>
      </c>
    </row>
    <row r="74" spans="1:13">
      <c r="A74" t="s">
        <v>190</v>
      </c>
      <c r="B74" t="s">
        <v>192</v>
      </c>
      <c r="C74" t="s">
        <v>176</v>
      </c>
      <c r="E74" s="63"/>
      <c r="F74" t="s">
        <v>176</v>
      </c>
      <c r="G74" s="64">
        <v>0</v>
      </c>
      <c r="H74" s="64">
        <v>0</v>
      </c>
      <c r="I74" s="64">
        <v>0</v>
      </c>
      <c r="J74" s="64">
        <v>0</v>
      </c>
      <c r="K74" s="64">
        <v>0</v>
      </c>
      <c r="L74" s="64">
        <v>0</v>
      </c>
      <c r="M74" s="64">
        <v>0</v>
      </c>
    </row>
    <row r="75" spans="1:13">
      <c r="A75" t="s">
        <v>190</v>
      </c>
      <c r="B75" t="s">
        <v>193</v>
      </c>
      <c r="C75" t="s">
        <v>176</v>
      </c>
      <c r="E75" s="63"/>
      <c r="F75" t="s">
        <v>176</v>
      </c>
      <c r="G75" s="64">
        <v>0</v>
      </c>
      <c r="H75" s="64">
        <v>0</v>
      </c>
      <c r="I75" s="64">
        <v>0</v>
      </c>
      <c r="J75" s="64">
        <v>0</v>
      </c>
      <c r="K75" s="64">
        <v>0</v>
      </c>
      <c r="L75" s="64">
        <v>0</v>
      </c>
      <c r="M75" s="64">
        <v>0</v>
      </c>
    </row>
    <row r="76" spans="1:13">
      <c r="A76" t="s">
        <v>190</v>
      </c>
      <c r="B76" t="s">
        <v>194</v>
      </c>
      <c r="C76" t="s">
        <v>176</v>
      </c>
      <c r="E76" s="63"/>
      <c r="F76" t="s">
        <v>176</v>
      </c>
      <c r="G76" s="64">
        <v>269.46253908415582</v>
      </c>
      <c r="H76" s="64">
        <v>229.51823732388584</v>
      </c>
      <c r="I76" s="64">
        <v>4124.5275233727934</v>
      </c>
      <c r="J76" s="64">
        <v>66.209974498281426</v>
      </c>
      <c r="K76" s="64">
        <v>118.56805845909143</v>
      </c>
      <c r="L76" s="64">
        <v>363.48035924160098</v>
      </c>
      <c r="M76" s="64">
        <v>500.73621249438571</v>
      </c>
    </row>
    <row r="77" spans="1:13">
      <c r="A77" t="s">
        <v>190</v>
      </c>
      <c r="B77" t="s">
        <v>195</v>
      </c>
      <c r="C77" t="s">
        <v>176</v>
      </c>
      <c r="E77" s="63"/>
      <c r="F77" t="s">
        <v>176</v>
      </c>
      <c r="G77" s="64">
        <v>498.07518897056269</v>
      </c>
      <c r="H77" s="64">
        <v>229.5182373238859</v>
      </c>
      <c r="I77" s="64">
        <v>4269.6467479594467</v>
      </c>
      <c r="J77" s="64">
        <v>47.723203659947693</v>
      </c>
      <c r="K77" s="64">
        <v>118.56805845909146</v>
      </c>
      <c r="L77" s="64">
        <v>52.984634384864968</v>
      </c>
      <c r="M77" s="64">
        <v>500.73621249438571</v>
      </c>
    </row>
    <row r="78" spans="1:13">
      <c r="A78" t="s">
        <v>190</v>
      </c>
      <c r="B78" t="s">
        <v>196</v>
      </c>
      <c r="C78" t="s">
        <v>176</v>
      </c>
      <c r="E78" s="63"/>
      <c r="F78" t="s">
        <v>176</v>
      </c>
      <c r="G78" s="64">
        <v>0</v>
      </c>
      <c r="H78" s="64">
        <v>0</v>
      </c>
      <c r="I78" s="64">
        <v>0</v>
      </c>
      <c r="J78" s="64">
        <v>0</v>
      </c>
      <c r="K78" s="64">
        <v>0</v>
      </c>
      <c r="L78" s="64">
        <v>0</v>
      </c>
      <c r="M78" s="64">
        <v>0</v>
      </c>
    </row>
    <row r="79" spans="1:13">
      <c r="A79" t="s">
        <v>190</v>
      </c>
      <c r="B79" t="s">
        <v>197</v>
      </c>
      <c r="C79" t="s">
        <v>176</v>
      </c>
      <c r="E79" s="63"/>
      <c r="F79" t="s">
        <v>176</v>
      </c>
      <c r="G79" s="64">
        <v>206.3387624496591</v>
      </c>
      <c r="H79" s="64">
        <v>227.5915364859099</v>
      </c>
      <c r="I79" s="64">
        <v>4087.3492926129661</v>
      </c>
      <c r="J79" s="64">
        <v>26.768091999976544</v>
      </c>
      <c r="K79" s="64">
        <v>117.57273372910964</v>
      </c>
      <c r="L79" s="64">
        <v>186.49505319866108</v>
      </c>
      <c r="M79" s="64">
        <v>496.53276055319458</v>
      </c>
    </row>
    <row r="80" spans="1:13">
      <c r="A80" t="s">
        <v>190</v>
      </c>
      <c r="B80" t="s">
        <v>198</v>
      </c>
      <c r="C80" t="s">
        <v>176</v>
      </c>
      <c r="E80" s="63"/>
      <c r="F80" t="s">
        <v>176</v>
      </c>
      <c r="G80" s="64">
        <v>0</v>
      </c>
      <c r="H80" s="64">
        <v>0</v>
      </c>
      <c r="I80" s="64">
        <v>0</v>
      </c>
      <c r="J80" s="64">
        <v>0</v>
      </c>
      <c r="K80" s="64">
        <v>0</v>
      </c>
      <c r="L80" s="64">
        <v>0</v>
      </c>
      <c r="M80" s="64">
        <v>0</v>
      </c>
    </row>
    <row r="81" spans="1:13">
      <c r="A81" t="s">
        <v>190</v>
      </c>
      <c r="B81" t="s">
        <v>199</v>
      </c>
      <c r="C81" t="s">
        <v>176</v>
      </c>
      <c r="E81" s="63"/>
      <c r="F81" t="s">
        <v>176</v>
      </c>
      <c r="G81" s="64">
        <v>167.91555461890948</v>
      </c>
      <c r="H81" s="64">
        <v>229.51823732388584</v>
      </c>
      <c r="I81" s="64">
        <v>4312.2803863054523</v>
      </c>
      <c r="J81" s="64">
        <v>4.2272499516427144</v>
      </c>
      <c r="K81" s="64">
        <v>118.56805845909146</v>
      </c>
      <c r="L81" s="64">
        <v>618.31550636700058</v>
      </c>
      <c r="M81" s="64">
        <v>500.73621249438565</v>
      </c>
    </row>
    <row r="82" spans="1:13">
      <c r="A82" t="s">
        <v>200</v>
      </c>
      <c r="B82" t="s">
        <v>201</v>
      </c>
      <c r="C82" t="s">
        <v>176</v>
      </c>
      <c r="E82" s="63"/>
      <c r="F82" t="s">
        <v>176</v>
      </c>
      <c r="G82" s="64">
        <v>1638.3392820388669</v>
      </c>
      <c r="H82" s="64">
        <v>371.85342541275753</v>
      </c>
      <c r="I82" s="64">
        <v>6286.5370433005946</v>
      </c>
      <c r="J82" s="64">
        <v>132.40342309778885</v>
      </c>
      <c r="K82" s="64">
        <v>45.121080128950517</v>
      </c>
      <c r="L82" s="64">
        <v>1248.8656256350773</v>
      </c>
      <c r="M82" s="64">
        <v>412.18939138809532</v>
      </c>
    </row>
    <row r="83" spans="1:13">
      <c r="A83" t="s">
        <v>200</v>
      </c>
      <c r="B83" t="s">
        <v>202</v>
      </c>
      <c r="C83" t="s">
        <v>176</v>
      </c>
      <c r="E83" s="63"/>
      <c r="F83" t="s">
        <v>176</v>
      </c>
      <c r="G83" s="64">
        <v>1069.9668162893611</v>
      </c>
      <c r="H83" s="64">
        <v>361.78433748353189</v>
      </c>
      <c r="I83" s="64">
        <v>5974.3837719964267</v>
      </c>
      <c r="J83" s="64">
        <v>50.212839956083378</v>
      </c>
      <c r="K83" s="64">
        <v>45.121080128950524</v>
      </c>
      <c r="L83" s="64">
        <v>2041.5991404005176</v>
      </c>
      <c r="M83" s="64">
        <v>412.18939138809526</v>
      </c>
    </row>
    <row r="84" spans="1:13">
      <c r="A84" t="s">
        <v>200</v>
      </c>
      <c r="B84" t="s">
        <v>203</v>
      </c>
      <c r="C84" t="s">
        <v>176</v>
      </c>
      <c r="E84" s="63"/>
      <c r="F84" t="s">
        <v>176</v>
      </c>
      <c r="G84" s="64">
        <v>538.54589767782625</v>
      </c>
      <c r="H84" s="64">
        <v>384.03066251416323</v>
      </c>
      <c r="I84" s="64">
        <v>6846.698518367527</v>
      </c>
      <c r="J84" s="64">
        <v>25.820970724322002</v>
      </c>
      <c r="K84" s="64">
        <v>45.121080128950517</v>
      </c>
      <c r="L84" s="64">
        <v>431.95190207526707</v>
      </c>
      <c r="M84" s="64">
        <v>412.18939138809532</v>
      </c>
    </row>
    <row r="85" spans="1:13">
      <c r="A85" t="s">
        <v>200</v>
      </c>
      <c r="B85" t="s">
        <v>204</v>
      </c>
      <c r="C85" t="s">
        <v>176</v>
      </c>
      <c r="E85" s="63"/>
      <c r="F85" t="s">
        <v>176</v>
      </c>
      <c r="G85" s="64">
        <v>602.50849376736187</v>
      </c>
      <c r="H85" s="64">
        <v>359.05812281757295</v>
      </c>
      <c r="I85" s="64">
        <v>5837.5899712308719</v>
      </c>
      <c r="J85" s="64">
        <v>242.73132265479373</v>
      </c>
      <c r="K85" s="64">
        <v>45.121080128950517</v>
      </c>
      <c r="L85" s="64">
        <v>1066.4088267427619</v>
      </c>
      <c r="M85" s="64">
        <v>412.1893913880952</v>
      </c>
    </row>
    <row r="86" spans="1:13">
      <c r="A86" t="s">
        <v>200</v>
      </c>
      <c r="B86" t="s">
        <v>200</v>
      </c>
      <c r="C86" t="s">
        <v>176</v>
      </c>
      <c r="E86" s="63"/>
      <c r="F86" t="s">
        <v>176</v>
      </c>
      <c r="G86" s="64">
        <v>0</v>
      </c>
      <c r="H86" s="64">
        <v>0</v>
      </c>
      <c r="I86" s="64">
        <v>0</v>
      </c>
      <c r="J86" s="64">
        <v>0</v>
      </c>
      <c r="K86" s="64">
        <v>0</v>
      </c>
      <c r="L86" s="64">
        <v>0</v>
      </c>
      <c r="M86" s="64">
        <v>0</v>
      </c>
    </row>
    <row r="87" spans="1:13">
      <c r="A87" t="s">
        <v>174</v>
      </c>
      <c r="B87" t="s">
        <v>175</v>
      </c>
      <c r="D87" t="s">
        <v>176</v>
      </c>
      <c r="E87" s="63"/>
      <c r="F87" t="s">
        <v>176</v>
      </c>
      <c r="G87" s="64">
        <v>212.45707075597727</v>
      </c>
      <c r="H87" s="64">
        <v>61.053581269348051</v>
      </c>
      <c r="I87" s="64">
        <v>3825.9801895874612</v>
      </c>
      <c r="J87" s="64">
        <v>20.041144114174767</v>
      </c>
      <c r="K87" s="64">
        <v>5.3419150464386886</v>
      </c>
      <c r="L87" s="64">
        <v>312.04317537515919</v>
      </c>
      <c r="M87" s="64">
        <v>193.22714127262537</v>
      </c>
    </row>
    <row r="88" spans="1:13">
      <c r="A88" t="s">
        <v>174</v>
      </c>
      <c r="B88" t="s">
        <v>177</v>
      </c>
      <c r="D88" t="s">
        <v>176</v>
      </c>
      <c r="E88" s="63"/>
      <c r="F88" t="s">
        <v>176</v>
      </c>
      <c r="G88" s="64">
        <v>449.53053722134928</v>
      </c>
      <c r="H88" s="64">
        <v>61.053581269348022</v>
      </c>
      <c r="I88" s="64">
        <v>3860.348214726298</v>
      </c>
      <c r="J88" s="64">
        <v>43.329245096327348</v>
      </c>
      <c r="K88" s="64">
        <v>5.3419150464386878</v>
      </c>
      <c r="L88" s="64">
        <v>695.8378208486123</v>
      </c>
      <c r="M88" s="64">
        <v>193.22714127262529</v>
      </c>
    </row>
    <row r="89" spans="1:13">
      <c r="A89" t="s">
        <v>174</v>
      </c>
      <c r="B89" t="s">
        <v>178</v>
      </c>
      <c r="D89" t="s">
        <v>176</v>
      </c>
      <c r="E89" s="63"/>
      <c r="F89" t="s">
        <v>176</v>
      </c>
      <c r="G89" s="64">
        <v>1256.6527819579592</v>
      </c>
      <c r="H89" s="64">
        <v>61.053581269348022</v>
      </c>
      <c r="I89" s="64">
        <v>4723.215852000726</v>
      </c>
      <c r="J89" s="64">
        <v>87.301516085700356</v>
      </c>
      <c r="K89" s="64">
        <v>5.3419150464386878</v>
      </c>
      <c r="L89" s="64">
        <v>370.3649758919737</v>
      </c>
      <c r="M89" s="64">
        <v>193.22714127262532</v>
      </c>
    </row>
    <row r="90" spans="1:13">
      <c r="A90" t="s">
        <v>174</v>
      </c>
      <c r="B90" t="s">
        <v>179</v>
      </c>
      <c r="D90" t="s">
        <v>176</v>
      </c>
      <c r="E90" s="63"/>
      <c r="F90" t="s">
        <v>176</v>
      </c>
      <c r="G90" s="64">
        <v>393.93314417086953</v>
      </c>
      <c r="H90" s="64">
        <v>61.053581269348037</v>
      </c>
      <c r="I90" s="64">
        <v>3831.2308726240435</v>
      </c>
      <c r="J90" s="64">
        <v>7.6877874736770293</v>
      </c>
      <c r="K90" s="64">
        <v>5.3419150464386878</v>
      </c>
      <c r="L90" s="64">
        <v>381.53706883687602</v>
      </c>
      <c r="M90" s="64">
        <v>193.22714127262529</v>
      </c>
    </row>
    <row r="91" spans="1:13">
      <c r="A91" t="s">
        <v>174</v>
      </c>
      <c r="B91" t="s">
        <v>180</v>
      </c>
      <c r="D91" t="s">
        <v>176</v>
      </c>
      <c r="E91" s="63"/>
      <c r="F91" t="s">
        <v>176</v>
      </c>
      <c r="G91" s="64">
        <v>393.85718898937165</v>
      </c>
      <c r="H91" s="64">
        <v>61.053581269348037</v>
      </c>
      <c r="I91" s="64">
        <v>4044.273786186091</v>
      </c>
      <c r="J91" s="64">
        <v>10.99939800338097</v>
      </c>
      <c r="K91" s="64">
        <v>5.3419150464386878</v>
      </c>
      <c r="L91" s="64">
        <v>302.7890600775325</v>
      </c>
      <c r="M91" s="64">
        <v>193.22714127262532</v>
      </c>
    </row>
    <row r="92" spans="1:13">
      <c r="A92" t="s">
        <v>174</v>
      </c>
      <c r="B92" t="s">
        <v>181</v>
      </c>
      <c r="D92" t="s">
        <v>176</v>
      </c>
      <c r="E92" s="63"/>
      <c r="F92" t="s">
        <v>176</v>
      </c>
      <c r="G92" s="64">
        <v>0</v>
      </c>
      <c r="H92" s="64">
        <v>0</v>
      </c>
      <c r="I92" s="64">
        <v>0</v>
      </c>
      <c r="J92" s="64">
        <v>0</v>
      </c>
      <c r="K92" s="64">
        <v>0</v>
      </c>
      <c r="L92" s="64">
        <v>0</v>
      </c>
      <c r="M92" s="64">
        <v>0</v>
      </c>
    </row>
    <row r="93" spans="1:13">
      <c r="A93" t="s">
        <v>174</v>
      </c>
      <c r="B93" t="s">
        <v>182</v>
      </c>
      <c r="D93" t="s">
        <v>176</v>
      </c>
      <c r="E93" s="63"/>
      <c r="F93" t="s">
        <v>176</v>
      </c>
      <c r="G93" s="64">
        <v>1809.833348729793</v>
      </c>
      <c r="H93" s="64">
        <v>61.05358126934803</v>
      </c>
      <c r="I93" s="64">
        <v>3935.4394204567916</v>
      </c>
      <c r="J93" s="64">
        <v>380.90586605080824</v>
      </c>
      <c r="K93" s="64">
        <v>5.3419150464386878</v>
      </c>
      <c r="L93" s="64">
        <v>1564.5087825800076</v>
      </c>
      <c r="M93" s="64">
        <v>193.22714127262532</v>
      </c>
    </row>
    <row r="94" spans="1:13">
      <c r="A94" t="s">
        <v>183</v>
      </c>
      <c r="B94" t="s">
        <v>184</v>
      </c>
      <c r="D94" t="s">
        <v>176</v>
      </c>
      <c r="E94" s="63"/>
      <c r="F94" t="s">
        <v>176</v>
      </c>
      <c r="G94" s="64">
        <v>362.9482143566089</v>
      </c>
      <c r="H94" s="64">
        <v>269.08475000549168</v>
      </c>
      <c r="I94" s="64">
        <v>4358.8243844171775</v>
      </c>
      <c r="J94" s="64">
        <v>5.164296977075141</v>
      </c>
      <c r="K94" s="64">
        <v>36.800390195409037</v>
      </c>
      <c r="L94" s="64">
        <v>126.12820126540926</v>
      </c>
      <c r="M94" s="64">
        <v>473.5869879011762</v>
      </c>
    </row>
    <row r="95" spans="1:13">
      <c r="A95" t="s">
        <v>183</v>
      </c>
      <c r="B95" t="s">
        <v>185</v>
      </c>
      <c r="D95" t="s">
        <v>176</v>
      </c>
      <c r="E95" s="63"/>
      <c r="F95" t="s">
        <v>176</v>
      </c>
      <c r="G95" s="64">
        <v>443.72147350456476</v>
      </c>
      <c r="H95" s="64">
        <v>262.88053904545723</v>
      </c>
      <c r="I95" s="64">
        <v>4251.2217340437292</v>
      </c>
      <c r="J95" s="64">
        <v>27.086539681392608</v>
      </c>
      <c r="K95" s="64">
        <v>36.80039019540903</v>
      </c>
      <c r="L95" s="64">
        <v>141.23317007769748</v>
      </c>
      <c r="M95" s="64">
        <v>473.5869879011762</v>
      </c>
    </row>
    <row r="96" spans="1:13">
      <c r="A96" t="s">
        <v>183</v>
      </c>
      <c r="B96" t="s">
        <v>186</v>
      </c>
      <c r="D96" t="s">
        <v>176</v>
      </c>
      <c r="E96" s="63"/>
      <c r="F96" t="s">
        <v>176</v>
      </c>
      <c r="G96" s="64">
        <v>0</v>
      </c>
      <c r="H96" s="64">
        <v>0</v>
      </c>
      <c r="I96" s="64">
        <v>0</v>
      </c>
      <c r="J96" s="64">
        <v>0</v>
      </c>
      <c r="K96" s="64">
        <v>0</v>
      </c>
      <c r="L96" s="64">
        <v>0</v>
      </c>
      <c r="M96" s="64">
        <v>0</v>
      </c>
    </row>
    <row r="97" spans="1:13">
      <c r="A97" t="s">
        <v>183</v>
      </c>
      <c r="B97" t="s">
        <v>187</v>
      </c>
      <c r="D97" t="s">
        <v>176</v>
      </c>
      <c r="E97" s="63"/>
      <c r="F97" t="s">
        <v>176</v>
      </c>
      <c r="G97" s="64">
        <v>530.26824986008296</v>
      </c>
      <c r="H97" s="64">
        <v>265.15190956966438</v>
      </c>
      <c r="I97" s="64">
        <v>4290.9265214240941</v>
      </c>
      <c r="J97" s="64">
        <v>20.725132002142637</v>
      </c>
      <c r="K97" s="64">
        <v>36.800390195409037</v>
      </c>
      <c r="L97" s="64">
        <v>157.05347042784589</v>
      </c>
      <c r="M97" s="64">
        <v>473.58698790117614</v>
      </c>
    </row>
    <row r="98" spans="1:13">
      <c r="A98" t="s">
        <v>183</v>
      </c>
      <c r="B98" t="s">
        <v>188</v>
      </c>
      <c r="D98" t="s">
        <v>176</v>
      </c>
      <c r="E98" s="63"/>
      <c r="F98" t="s">
        <v>176</v>
      </c>
      <c r="G98" s="64">
        <v>332.1717005340268</v>
      </c>
      <c r="H98" s="64">
        <v>265.88340512268968</v>
      </c>
      <c r="I98" s="64">
        <v>4307.481201388021</v>
      </c>
      <c r="J98" s="64">
        <v>15.210754411417515</v>
      </c>
      <c r="K98" s="64">
        <v>36.800390195409037</v>
      </c>
      <c r="L98" s="64">
        <v>100.79205160642751</v>
      </c>
      <c r="M98" s="64">
        <v>473.58698790117626</v>
      </c>
    </row>
    <row r="99" spans="1:13">
      <c r="A99" t="s">
        <v>183</v>
      </c>
      <c r="B99" t="s">
        <v>189</v>
      </c>
      <c r="D99" t="s">
        <v>176</v>
      </c>
      <c r="E99" s="63"/>
      <c r="F99" t="s">
        <v>176</v>
      </c>
      <c r="G99" s="64">
        <v>464.21193793767532</v>
      </c>
      <c r="H99" s="64">
        <v>264.68300626279074</v>
      </c>
      <c r="I99" s="64">
        <v>4286.8368144585111</v>
      </c>
      <c r="J99" s="64">
        <v>1.2710912072690794</v>
      </c>
      <c r="K99" s="64">
        <v>36.800390195409037</v>
      </c>
      <c r="L99" s="64">
        <v>129.98508811181691</v>
      </c>
      <c r="M99" s="64">
        <v>473.5869879011762</v>
      </c>
    </row>
    <row r="100" spans="1:13">
      <c r="A100" t="s">
        <v>183</v>
      </c>
      <c r="B100" t="s">
        <v>183</v>
      </c>
      <c r="D100" t="s">
        <v>176</v>
      </c>
      <c r="E100" s="63"/>
      <c r="F100" t="s">
        <v>176</v>
      </c>
      <c r="G100" s="64">
        <v>0</v>
      </c>
      <c r="H100" s="64">
        <v>0</v>
      </c>
      <c r="I100" s="64">
        <v>0</v>
      </c>
      <c r="J100" s="64">
        <v>0</v>
      </c>
      <c r="K100" s="64">
        <v>0</v>
      </c>
      <c r="L100" s="64">
        <v>0</v>
      </c>
      <c r="M100" s="64">
        <v>0</v>
      </c>
    </row>
    <row r="101" spans="1:13">
      <c r="A101" t="s">
        <v>190</v>
      </c>
      <c r="B101" t="s">
        <v>191</v>
      </c>
      <c r="D101" t="s">
        <v>176</v>
      </c>
      <c r="E101" s="63"/>
      <c r="F101" t="s">
        <v>176</v>
      </c>
      <c r="G101" s="64">
        <v>0</v>
      </c>
      <c r="H101" s="64">
        <v>0</v>
      </c>
      <c r="I101" s="64">
        <v>0</v>
      </c>
      <c r="J101" s="64">
        <v>0</v>
      </c>
      <c r="K101" s="64">
        <v>0</v>
      </c>
      <c r="L101" s="64">
        <v>0</v>
      </c>
      <c r="M101" s="64">
        <v>0</v>
      </c>
    </row>
    <row r="102" spans="1:13">
      <c r="A102" t="s">
        <v>190</v>
      </c>
      <c r="B102" t="s">
        <v>192</v>
      </c>
      <c r="D102" t="s">
        <v>176</v>
      </c>
      <c r="E102" s="63"/>
      <c r="F102" t="s">
        <v>176</v>
      </c>
      <c r="G102" s="64">
        <v>0</v>
      </c>
      <c r="H102" s="64">
        <v>0</v>
      </c>
      <c r="I102" s="64">
        <v>0</v>
      </c>
      <c r="J102" s="64">
        <v>0</v>
      </c>
      <c r="K102" s="64">
        <v>0</v>
      </c>
      <c r="L102" s="64">
        <v>0</v>
      </c>
      <c r="M102" s="64">
        <v>0</v>
      </c>
    </row>
    <row r="103" spans="1:13">
      <c r="A103" t="s">
        <v>190</v>
      </c>
      <c r="B103" t="s">
        <v>193</v>
      </c>
      <c r="D103" t="s">
        <v>176</v>
      </c>
      <c r="E103" s="63"/>
      <c r="F103" t="s">
        <v>176</v>
      </c>
      <c r="G103" s="64">
        <v>0</v>
      </c>
      <c r="H103" s="64">
        <v>170.80426963638016</v>
      </c>
      <c r="I103" s="64">
        <v>4150.958723961312</v>
      </c>
      <c r="J103" s="64">
        <v>0</v>
      </c>
      <c r="K103" s="64">
        <v>88.236694667230864</v>
      </c>
      <c r="L103" s="64">
        <v>0</v>
      </c>
      <c r="M103" s="64">
        <v>372.6409023214033</v>
      </c>
    </row>
    <row r="104" spans="1:13">
      <c r="A104" t="s">
        <v>190</v>
      </c>
      <c r="B104" t="s">
        <v>194</v>
      </c>
      <c r="D104" t="s">
        <v>176</v>
      </c>
      <c r="E104" s="63"/>
      <c r="F104" t="s">
        <v>176</v>
      </c>
      <c r="G104" s="64">
        <v>269.46253908415576</v>
      </c>
      <c r="H104" s="64">
        <v>229.51823732388593</v>
      </c>
      <c r="I104" s="64">
        <v>4087.7108081602764</v>
      </c>
      <c r="J104" s="64">
        <v>66.209974498281412</v>
      </c>
      <c r="K104" s="64">
        <v>118.5680584590915</v>
      </c>
      <c r="L104" s="64">
        <v>363.48035924160092</v>
      </c>
      <c r="M104" s="64">
        <v>500.7362124943856</v>
      </c>
    </row>
    <row r="105" spans="1:13">
      <c r="A105" t="s">
        <v>190</v>
      </c>
      <c r="B105" t="s">
        <v>195</v>
      </c>
      <c r="D105" t="s">
        <v>176</v>
      </c>
      <c r="E105" s="63"/>
      <c r="F105" t="s">
        <v>176</v>
      </c>
      <c r="G105" s="64">
        <v>0</v>
      </c>
      <c r="H105" s="64">
        <v>0</v>
      </c>
      <c r="I105" s="64">
        <v>0</v>
      </c>
      <c r="J105" s="64">
        <v>0</v>
      </c>
      <c r="K105" s="64">
        <v>0</v>
      </c>
      <c r="L105" s="64">
        <v>0</v>
      </c>
      <c r="M105" s="64">
        <v>0</v>
      </c>
    </row>
    <row r="106" spans="1:13">
      <c r="A106" t="s">
        <v>190</v>
      </c>
      <c r="B106" t="s">
        <v>196</v>
      </c>
      <c r="D106" t="s">
        <v>176</v>
      </c>
      <c r="E106" s="63"/>
      <c r="F106" t="s">
        <v>176</v>
      </c>
      <c r="G106" s="64">
        <v>0</v>
      </c>
      <c r="H106" s="64">
        <v>0</v>
      </c>
      <c r="I106" s="64">
        <v>0</v>
      </c>
      <c r="J106" s="64">
        <v>0</v>
      </c>
      <c r="K106" s="64">
        <v>0</v>
      </c>
      <c r="L106" s="64">
        <v>0</v>
      </c>
      <c r="M106" s="64">
        <v>0</v>
      </c>
    </row>
    <row r="107" spans="1:13">
      <c r="A107" t="s">
        <v>190</v>
      </c>
      <c r="B107" t="s">
        <v>197</v>
      </c>
      <c r="D107" t="s">
        <v>176</v>
      </c>
      <c r="E107" s="63"/>
      <c r="F107" t="s">
        <v>176</v>
      </c>
      <c r="G107" s="64">
        <v>208.08554562383608</v>
      </c>
      <c r="H107" s="64">
        <v>229.51823732388584</v>
      </c>
      <c r="I107" s="64">
        <v>4057.1253968446304</v>
      </c>
      <c r="J107" s="64">
        <v>26.994700186219735</v>
      </c>
      <c r="K107" s="64">
        <v>118.56805845909145</v>
      </c>
      <c r="L107" s="64">
        <v>188.07384729981374</v>
      </c>
      <c r="M107" s="64">
        <v>500.73621249438565</v>
      </c>
    </row>
    <row r="108" spans="1:13">
      <c r="A108" t="s">
        <v>190</v>
      </c>
      <c r="B108" t="s">
        <v>198</v>
      </c>
      <c r="D108" t="s">
        <v>176</v>
      </c>
      <c r="E108" s="63"/>
      <c r="F108" t="s">
        <v>176</v>
      </c>
      <c r="G108" s="64">
        <v>0</v>
      </c>
      <c r="H108" s="64">
        <v>0</v>
      </c>
      <c r="I108" s="64">
        <v>0</v>
      </c>
      <c r="J108" s="64">
        <v>0</v>
      </c>
      <c r="K108" s="64">
        <v>0</v>
      </c>
      <c r="L108" s="64">
        <v>0</v>
      </c>
      <c r="M108" s="64">
        <v>0</v>
      </c>
    </row>
    <row r="109" spans="1:13">
      <c r="A109" t="s">
        <v>190</v>
      </c>
      <c r="B109" t="s">
        <v>199</v>
      </c>
      <c r="D109" t="s">
        <v>176</v>
      </c>
      <c r="E109" s="63"/>
      <c r="F109" t="s">
        <v>176</v>
      </c>
      <c r="G109" s="64">
        <v>0</v>
      </c>
      <c r="H109" s="64">
        <v>0</v>
      </c>
      <c r="I109" s="64">
        <v>0</v>
      </c>
      <c r="J109" s="64">
        <v>0</v>
      </c>
      <c r="K109" s="64">
        <v>0</v>
      </c>
      <c r="L109" s="64">
        <v>0</v>
      </c>
      <c r="M109" s="64">
        <v>0</v>
      </c>
    </row>
    <row r="110" spans="1:13">
      <c r="A110" t="s">
        <v>200</v>
      </c>
      <c r="B110" t="s">
        <v>201</v>
      </c>
      <c r="D110" t="s">
        <v>176</v>
      </c>
      <c r="E110" s="63"/>
      <c r="F110" t="s">
        <v>176</v>
      </c>
      <c r="G110" s="64">
        <v>1023.9352539955273</v>
      </c>
      <c r="H110" s="64">
        <v>335.59490548462276</v>
      </c>
      <c r="I110" s="64">
        <v>5306.2365176996054</v>
      </c>
      <c r="J110" s="64">
        <v>132.40342309778885</v>
      </c>
      <c r="K110" s="64">
        <v>45.121080128950517</v>
      </c>
      <c r="L110" s="64">
        <v>1248.8656256350773</v>
      </c>
      <c r="M110" s="64">
        <v>412.18939138809532</v>
      </c>
    </row>
    <row r="111" spans="1:13">
      <c r="A111" t="s">
        <v>200</v>
      </c>
      <c r="B111" t="s">
        <v>202</v>
      </c>
      <c r="D111" t="s">
        <v>176</v>
      </c>
      <c r="E111" s="63"/>
      <c r="F111" t="s">
        <v>176</v>
      </c>
      <c r="G111" s="64">
        <v>1072.3146135314657</v>
      </c>
      <c r="H111" s="64">
        <v>335.87673119772677</v>
      </c>
      <c r="I111" s="64">
        <v>5347.867593814085</v>
      </c>
      <c r="J111" s="64">
        <v>50.212839956083393</v>
      </c>
      <c r="K111" s="64">
        <v>45.121080128950517</v>
      </c>
      <c r="L111" s="64">
        <v>2041.5991404005176</v>
      </c>
      <c r="M111" s="64">
        <v>412.18939138809526</v>
      </c>
    </row>
    <row r="112" spans="1:13">
      <c r="A112" t="s">
        <v>200</v>
      </c>
      <c r="B112" t="s">
        <v>203</v>
      </c>
      <c r="D112" t="s">
        <v>176</v>
      </c>
      <c r="E112" s="63"/>
      <c r="F112" t="s">
        <v>176</v>
      </c>
      <c r="G112" s="64">
        <v>565.44551842512556</v>
      </c>
      <c r="H112" s="64">
        <v>337.08145080964903</v>
      </c>
      <c r="I112" s="64">
        <v>5383.0654390453101</v>
      </c>
      <c r="J112" s="64">
        <v>25.820970724322006</v>
      </c>
      <c r="K112" s="64">
        <v>45.12108012895051</v>
      </c>
      <c r="L112" s="64">
        <v>431.95190207526707</v>
      </c>
      <c r="M112" s="64">
        <v>412.18939138809532</v>
      </c>
    </row>
    <row r="113" spans="1:13">
      <c r="A113" t="s">
        <v>200</v>
      </c>
      <c r="B113" t="s">
        <v>204</v>
      </c>
      <c r="D113" t="s">
        <v>176</v>
      </c>
      <c r="E113" s="63"/>
      <c r="F113" t="s">
        <v>176</v>
      </c>
      <c r="G113" s="64">
        <v>602.50849376736153</v>
      </c>
      <c r="H113" s="64">
        <v>336.92988660308913</v>
      </c>
      <c r="I113" s="64">
        <v>5391.7607785944874</v>
      </c>
      <c r="J113" s="64">
        <v>242.73132265479381</v>
      </c>
      <c r="K113" s="64">
        <v>45.121080128950517</v>
      </c>
      <c r="L113" s="64">
        <v>1066.4088267427621</v>
      </c>
      <c r="M113" s="64">
        <v>412.1893913880952</v>
      </c>
    </row>
    <row r="114" spans="1:13">
      <c r="A114" t="s">
        <v>200</v>
      </c>
      <c r="B114" t="s">
        <v>200</v>
      </c>
      <c r="D114" t="s">
        <v>176</v>
      </c>
      <c r="E114" s="63"/>
      <c r="F114" t="s">
        <v>176</v>
      </c>
      <c r="G114" s="64">
        <v>0</v>
      </c>
      <c r="H114" s="64">
        <v>0</v>
      </c>
      <c r="I114" s="64">
        <v>0</v>
      </c>
      <c r="J114" s="64">
        <v>0</v>
      </c>
      <c r="K114" s="64">
        <v>0</v>
      </c>
      <c r="L114" s="64">
        <v>0</v>
      </c>
      <c r="M114" s="64">
        <v>0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A149"/>
  <sheetViews>
    <sheetView topLeftCell="F82" workbookViewId="0"/>
  </sheetViews>
  <sheetFormatPr defaultColWidth="8.88671875" defaultRowHeight="14.4"/>
  <cols>
    <col min="2" max="2" width="35.44140625" bestFit="1" customWidth="1"/>
    <col min="4" max="4" width="11.33203125" bestFit="1" customWidth="1"/>
    <col min="5" max="5" width="35.44140625" bestFit="1" customWidth="1"/>
    <col min="6" max="6" width="38.33203125" bestFit="1" customWidth="1"/>
    <col min="7" max="7" width="11.44140625" bestFit="1" customWidth="1"/>
    <col min="9" max="9" width="35.44140625" bestFit="1" customWidth="1"/>
    <col min="13" max="13" width="14.109375" customWidth="1"/>
    <col min="14" max="14" width="10.44140625" bestFit="1" customWidth="1"/>
  </cols>
  <sheetData>
    <row r="1" spans="1:27" ht="16.5" customHeight="1">
      <c r="B1" t="s">
        <v>205</v>
      </c>
      <c r="C1" t="s">
        <v>148</v>
      </c>
      <c r="E1" t="s">
        <v>206</v>
      </c>
      <c r="H1" t="s">
        <v>207</v>
      </c>
      <c r="K1" t="s">
        <v>208</v>
      </c>
      <c r="L1" t="s">
        <v>209</v>
      </c>
    </row>
    <row r="2" spans="1:27" ht="16.5" customHeight="1">
      <c r="B2" t="s">
        <v>210</v>
      </c>
      <c r="C2" t="s">
        <v>211</v>
      </c>
      <c r="F2" s="7"/>
      <c r="I2" t="str">
        <f t="shared" ref="I2:I29" si="0">IFERROR(INDEX(F:F,MATCH(H2,D:D,0)),"")</f>
        <v/>
      </c>
      <c r="V2" t="s">
        <v>166</v>
      </c>
      <c r="W2" t="s">
        <v>212</v>
      </c>
      <c r="X2" t="s">
        <v>213</v>
      </c>
      <c r="Y2" t="s">
        <v>214</v>
      </c>
      <c r="Z2" t="s">
        <v>213</v>
      </c>
      <c r="AA2" t="s">
        <v>215</v>
      </c>
    </row>
    <row r="3" spans="1:27">
      <c r="B3" t="s">
        <v>216</v>
      </c>
      <c r="I3" t="str">
        <f t="shared" si="0"/>
        <v/>
      </c>
      <c r="K3">
        <v>2018</v>
      </c>
      <c r="L3" t="s">
        <v>217</v>
      </c>
      <c r="M3" t="s">
        <v>218</v>
      </c>
      <c r="N3" s="51">
        <v>12874</v>
      </c>
      <c r="P3" t="s">
        <v>219</v>
      </c>
      <c r="Q3" t="s">
        <v>220</v>
      </c>
      <c r="S3" t="s">
        <v>221</v>
      </c>
      <c r="T3" t="s">
        <v>222</v>
      </c>
      <c r="V3" t="s">
        <v>175</v>
      </c>
      <c r="W3" s="103">
        <v>0.68</v>
      </c>
      <c r="X3" s="103">
        <v>0.17537891502922465</v>
      </c>
      <c r="Z3" s="103"/>
      <c r="AA3" t="s">
        <v>223</v>
      </c>
    </row>
    <row r="4" spans="1:27">
      <c r="B4" t="s">
        <v>224</v>
      </c>
      <c r="D4" t="e">
        <f>IF(#REF!=E4,1+MAX($D$3:D3))</f>
        <v>#REF!</v>
      </c>
      <c r="E4" t="s">
        <v>210</v>
      </c>
      <c r="F4" t="s">
        <v>225</v>
      </c>
      <c r="H4">
        <v>1</v>
      </c>
      <c r="I4" t="str">
        <f t="shared" si="0"/>
        <v/>
      </c>
      <c r="K4">
        <v>2019</v>
      </c>
      <c r="L4" t="s">
        <v>226</v>
      </c>
      <c r="M4" t="s">
        <v>227</v>
      </c>
      <c r="N4" s="51">
        <v>12340</v>
      </c>
      <c r="P4" t="s">
        <v>228</v>
      </c>
      <c r="Q4" t="s">
        <v>229</v>
      </c>
      <c r="S4" t="s">
        <v>230</v>
      </c>
      <c r="T4" t="s">
        <v>231</v>
      </c>
      <c r="V4" t="s">
        <v>177</v>
      </c>
      <c r="W4" s="103"/>
      <c r="X4" s="103"/>
      <c r="Y4" s="103">
        <v>0.63</v>
      </c>
      <c r="Z4" s="103">
        <v>0.14273808178889616</v>
      </c>
      <c r="AA4" t="s">
        <v>232</v>
      </c>
    </row>
    <row r="5" spans="1:27" ht="15" customHeight="1">
      <c r="B5" t="s">
        <v>233</v>
      </c>
      <c r="D5" t="e">
        <f>IF(#REF!=E5,1+MAX($D$3:D4))</f>
        <v>#REF!</v>
      </c>
      <c r="E5" t="s">
        <v>210</v>
      </c>
      <c r="F5" t="s">
        <v>234</v>
      </c>
      <c r="H5">
        <v>2</v>
      </c>
      <c r="I5" t="str">
        <f t="shared" si="0"/>
        <v/>
      </c>
      <c r="K5">
        <v>2020</v>
      </c>
      <c r="L5" t="s">
        <v>235</v>
      </c>
      <c r="M5" t="s">
        <v>236</v>
      </c>
      <c r="N5" s="51">
        <v>19617</v>
      </c>
      <c r="P5" t="s">
        <v>237</v>
      </c>
      <c r="Q5" t="s">
        <v>238</v>
      </c>
      <c r="S5" t="s">
        <v>239</v>
      </c>
      <c r="T5" t="s">
        <v>240</v>
      </c>
      <c r="V5" t="s">
        <v>178</v>
      </c>
      <c r="W5" s="103">
        <v>0.77</v>
      </c>
      <c r="X5" s="103">
        <v>0.12250351200140407</v>
      </c>
      <c r="Z5" s="103"/>
      <c r="AA5" t="s">
        <v>241</v>
      </c>
    </row>
    <row r="6" spans="1:27" ht="15" customHeight="1">
      <c r="D6" t="e">
        <f>IF(#REF!=E6,1+MAX($D$3:D5))</f>
        <v>#REF!</v>
      </c>
      <c r="E6" t="s">
        <v>210</v>
      </c>
      <c r="F6" t="s">
        <v>242</v>
      </c>
      <c r="H6">
        <v>3</v>
      </c>
      <c r="I6" t="str">
        <f t="shared" si="0"/>
        <v/>
      </c>
      <c r="K6">
        <v>2021</v>
      </c>
      <c r="M6" t="s">
        <v>243</v>
      </c>
      <c r="N6" s="51">
        <v>16876</v>
      </c>
      <c r="P6" t="s">
        <v>244</v>
      </c>
      <c r="Q6" t="s">
        <v>245</v>
      </c>
      <c r="S6" t="s">
        <v>246</v>
      </c>
      <c r="T6" t="s">
        <v>247</v>
      </c>
      <c r="V6" t="s">
        <v>179</v>
      </c>
      <c r="X6" s="103"/>
      <c r="Y6" s="103">
        <v>0.68</v>
      </c>
      <c r="Z6" s="103">
        <v>0.12063411594700733</v>
      </c>
      <c r="AA6" t="s">
        <v>248</v>
      </c>
    </row>
    <row r="7" spans="1:27">
      <c r="A7" t="e">
        <f>IF(#REF!&gt;=B7,1)</f>
        <v>#REF!</v>
      </c>
      <c r="B7">
        <v>1</v>
      </c>
      <c r="C7" t="s">
        <v>249</v>
      </c>
      <c r="D7" t="e">
        <f>IF(#REF!=E7,1+MAX($D$3:D6))</f>
        <v>#REF!</v>
      </c>
      <c r="E7" t="s">
        <v>210</v>
      </c>
      <c r="F7" t="s">
        <v>250</v>
      </c>
      <c r="H7">
        <v>4</v>
      </c>
      <c r="I7" t="str">
        <f t="shared" si="0"/>
        <v/>
      </c>
      <c r="K7">
        <v>2022</v>
      </c>
      <c r="M7" t="s">
        <v>251</v>
      </c>
      <c r="N7" s="51">
        <v>17299</v>
      </c>
      <c r="P7" t="s">
        <v>252</v>
      </c>
      <c r="Q7" t="s">
        <v>253</v>
      </c>
      <c r="S7" t="s">
        <v>254</v>
      </c>
      <c r="T7" t="s">
        <v>255</v>
      </c>
      <c r="V7" t="s">
        <v>180</v>
      </c>
      <c r="W7" s="103">
        <v>0.57999999999999996</v>
      </c>
      <c r="X7" s="103">
        <v>0.23842273390915772</v>
      </c>
      <c r="Z7" s="103"/>
      <c r="AA7" t="s">
        <v>256</v>
      </c>
    </row>
    <row r="8" spans="1:27" ht="15" customHeight="1">
      <c r="A8" t="e">
        <f>IF(#REF!&gt;=B8,1+MAX($A$7:A7))</f>
        <v>#REF!</v>
      </c>
      <c r="B8">
        <v>2</v>
      </c>
      <c r="C8" t="s">
        <v>257</v>
      </c>
      <c r="D8" t="e">
        <f>IF(#REF!=E8,1+MAX($D$3:D7))</f>
        <v>#REF!</v>
      </c>
      <c r="E8" t="s">
        <v>210</v>
      </c>
      <c r="F8" t="s">
        <v>258</v>
      </c>
      <c r="H8">
        <v>5</v>
      </c>
      <c r="I8" t="str">
        <f t="shared" si="0"/>
        <v/>
      </c>
      <c r="K8">
        <v>2023</v>
      </c>
      <c r="M8" t="s">
        <v>259</v>
      </c>
      <c r="N8" s="51">
        <v>19274</v>
      </c>
      <c r="S8" t="s">
        <v>260</v>
      </c>
      <c r="T8" t="s">
        <v>261</v>
      </c>
      <c r="V8" t="s">
        <v>181</v>
      </c>
      <c r="W8" s="103">
        <v>0.72</v>
      </c>
      <c r="X8" s="103">
        <v>0.15147182788087957</v>
      </c>
      <c r="Z8" s="103"/>
      <c r="AA8" t="s">
        <v>262</v>
      </c>
    </row>
    <row r="9" spans="1:27" ht="15" customHeight="1">
      <c r="A9" t="e">
        <f>IF(#REF!&gt;=B9,1+MAX($A$7:A8))</f>
        <v>#REF!</v>
      </c>
      <c r="B9">
        <v>3</v>
      </c>
      <c r="C9" t="s">
        <v>263</v>
      </c>
      <c r="D9" t="e">
        <f>IF(#REF!=E9,1+MAX($D$3:D8))</f>
        <v>#REF!</v>
      </c>
      <c r="E9" t="s">
        <v>210</v>
      </c>
      <c r="F9" t="s">
        <v>264</v>
      </c>
      <c r="H9">
        <v>6</v>
      </c>
      <c r="I9" t="str">
        <f t="shared" si="0"/>
        <v/>
      </c>
      <c r="K9">
        <v>2024</v>
      </c>
      <c r="M9" t="s">
        <v>265</v>
      </c>
      <c r="N9" s="51">
        <v>22015</v>
      </c>
      <c r="V9" t="s">
        <v>182</v>
      </c>
      <c r="W9" s="103">
        <v>0.85</v>
      </c>
      <c r="X9" s="103">
        <v>7.8045483102074403E-2</v>
      </c>
      <c r="Z9" s="103"/>
      <c r="AA9" t="s">
        <v>266</v>
      </c>
    </row>
    <row r="10" spans="1:27" ht="15" customHeight="1">
      <c r="A10" t="e">
        <f>IF(#REF!&gt;=B10,1+MAX($A$7:A9))</f>
        <v>#REF!</v>
      </c>
      <c r="B10">
        <v>4</v>
      </c>
      <c r="C10" t="s">
        <v>267</v>
      </c>
      <c r="D10" t="e">
        <f>IF(#REF!=E10,1+MAX($D$3:D9))</f>
        <v>#REF!</v>
      </c>
      <c r="E10" t="s">
        <v>210</v>
      </c>
      <c r="F10" t="s">
        <v>268</v>
      </c>
      <c r="H10">
        <v>7</v>
      </c>
      <c r="I10" t="str">
        <f t="shared" si="0"/>
        <v/>
      </c>
      <c r="K10">
        <v>2025</v>
      </c>
      <c r="M10" t="s">
        <v>269</v>
      </c>
      <c r="N10" s="51">
        <v>27425</v>
      </c>
      <c r="V10" s="104" t="s">
        <v>188</v>
      </c>
      <c r="W10" s="103">
        <v>0.7</v>
      </c>
      <c r="X10" s="103">
        <v>0.1633400430179103</v>
      </c>
      <c r="Z10" s="103"/>
      <c r="AA10" t="s">
        <v>270</v>
      </c>
    </row>
    <row r="11" spans="1:27" ht="15" customHeight="1">
      <c r="A11" t="e">
        <f>IF(#REF!&gt;=B11,1+MAX($A$7:A10))</f>
        <v>#REF!</v>
      </c>
      <c r="B11">
        <v>5</v>
      </c>
      <c r="C11" t="s">
        <v>271</v>
      </c>
      <c r="D11" t="e">
        <f>IF(#REF!=E11,1+MAX($D$3:D10))</f>
        <v>#REF!</v>
      </c>
      <c r="E11" t="s">
        <v>216</v>
      </c>
      <c r="F11" t="s">
        <v>272</v>
      </c>
      <c r="H11">
        <v>8</v>
      </c>
      <c r="I11" t="str">
        <f t="shared" si="0"/>
        <v/>
      </c>
      <c r="K11">
        <v>2026</v>
      </c>
      <c r="M11" t="s">
        <v>273</v>
      </c>
      <c r="N11" s="51">
        <v>33905</v>
      </c>
      <c r="V11" t="s">
        <v>187</v>
      </c>
      <c r="W11" s="103">
        <v>0.7</v>
      </c>
      <c r="X11" s="103">
        <v>0.1633400430179103</v>
      </c>
      <c r="Z11" s="103"/>
      <c r="AA11" t="s">
        <v>270</v>
      </c>
    </row>
    <row r="12" spans="1:27" ht="15" customHeight="1">
      <c r="D12" t="e">
        <f>IF(#REF!=E12,1+MAX($D$3:D11))</f>
        <v>#REF!</v>
      </c>
      <c r="E12" t="s">
        <v>216</v>
      </c>
      <c r="F12" t="s">
        <v>274</v>
      </c>
      <c r="H12">
        <v>9</v>
      </c>
      <c r="I12" t="str">
        <f t="shared" si="0"/>
        <v/>
      </c>
      <c r="M12" t="s">
        <v>275</v>
      </c>
      <c r="N12" s="51">
        <v>32336</v>
      </c>
      <c r="V12" t="s">
        <v>189</v>
      </c>
      <c r="W12" s="103">
        <v>0.7</v>
      </c>
      <c r="X12" s="103">
        <v>0.1633400430179103</v>
      </c>
      <c r="Z12" s="103"/>
      <c r="AA12" t="s">
        <v>270</v>
      </c>
    </row>
    <row r="13" spans="1:27" ht="15" customHeight="1">
      <c r="A13">
        <v>1</v>
      </c>
      <c r="B13" t="str">
        <f>IFERROR(VLOOKUP(A13,A7:C11,3,0),"")</f>
        <v/>
      </c>
      <c r="D13" t="e">
        <f>IF(#REF!=E13,1+MAX($D$3:D12))</f>
        <v>#REF!</v>
      </c>
      <c r="E13" t="s">
        <v>216</v>
      </c>
      <c r="F13" t="s">
        <v>276</v>
      </c>
      <c r="H13">
        <v>10</v>
      </c>
      <c r="I13" t="str">
        <f t="shared" si="0"/>
        <v/>
      </c>
      <c r="V13" t="s">
        <v>186</v>
      </c>
      <c r="W13" s="103">
        <v>0.7</v>
      </c>
      <c r="X13" s="103">
        <v>0.1633400430179103</v>
      </c>
      <c r="Z13" s="103"/>
      <c r="AA13" t="s">
        <v>270</v>
      </c>
    </row>
    <row r="14" spans="1:27" ht="15" customHeight="1">
      <c r="A14">
        <v>2</v>
      </c>
      <c r="B14" t="str">
        <f>IFERROR(VLOOKUP(A14,A8:C12,3,0),"")</f>
        <v/>
      </c>
      <c r="D14" t="e">
        <f>IF(#REF!=E14,1+MAX($D$3:D13))</f>
        <v>#REF!</v>
      </c>
      <c r="E14" t="s">
        <v>216</v>
      </c>
      <c r="F14" t="s">
        <v>277</v>
      </c>
      <c r="H14">
        <v>11</v>
      </c>
      <c r="I14" t="str">
        <f t="shared" si="0"/>
        <v/>
      </c>
      <c r="V14" t="s">
        <v>185</v>
      </c>
      <c r="W14" s="103">
        <v>0.7</v>
      </c>
      <c r="X14" s="103">
        <v>0.1633400430179103</v>
      </c>
      <c r="Z14" s="103"/>
      <c r="AA14" t="s">
        <v>270</v>
      </c>
    </row>
    <row r="15" spans="1:27" ht="15.75" customHeight="1">
      <c r="A15">
        <v>3</v>
      </c>
      <c r="B15" t="str">
        <f>IFERROR(VLOOKUP(A15,A9:C13,3,0),"")</f>
        <v/>
      </c>
      <c r="D15" t="e">
        <f>IF(#REF!=E15,1+MAX($D$3:D14))</f>
        <v>#REF!</v>
      </c>
      <c r="E15" t="s">
        <v>216</v>
      </c>
      <c r="F15" t="s">
        <v>278</v>
      </c>
      <c r="H15">
        <v>12</v>
      </c>
      <c r="I15" t="str">
        <f t="shared" si="0"/>
        <v/>
      </c>
      <c r="V15" t="s">
        <v>184</v>
      </c>
      <c r="W15" s="103">
        <v>0.7</v>
      </c>
      <c r="X15" s="103">
        <v>0.1633400430179103</v>
      </c>
      <c r="Z15" s="103"/>
      <c r="AA15" t="s">
        <v>270</v>
      </c>
    </row>
    <row r="16" spans="1:27">
      <c r="A16">
        <v>4</v>
      </c>
      <c r="B16" t="str">
        <f>IFERROR(VLOOKUP(A16,A10:C14,3,0),"")</f>
        <v/>
      </c>
      <c r="D16" t="e">
        <f>IF(#REF!=E16,1+MAX($D$3:D15))</f>
        <v>#REF!</v>
      </c>
      <c r="E16" t="s">
        <v>216</v>
      </c>
      <c r="F16" t="s">
        <v>279</v>
      </c>
      <c r="H16">
        <v>13</v>
      </c>
      <c r="I16" t="str">
        <f t="shared" si="0"/>
        <v/>
      </c>
      <c r="V16" t="s">
        <v>191</v>
      </c>
      <c r="W16" s="103">
        <v>0.56999999999999995</v>
      </c>
      <c r="X16" s="103">
        <v>0.24501693383181761</v>
      </c>
      <c r="Z16" s="103"/>
      <c r="AA16" t="s">
        <v>256</v>
      </c>
    </row>
    <row r="17" spans="1:27">
      <c r="A17">
        <v>5</v>
      </c>
      <c r="B17" t="str">
        <f>IFERROR(VLOOKUP(A17,A11:C15,3,0),"")</f>
        <v/>
      </c>
      <c r="D17" t="e">
        <f>IF(#REF!=E17,1+MAX($D$3:D16))</f>
        <v>#REF!</v>
      </c>
      <c r="E17" t="s">
        <v>224</v>
      </c>
      <c r="F17" t="s">
        <v>280</v>
      </c>
      <c r="H17">
        <v>14</v>
      </c>
      <c r="I17" t="str">
        <f t="shared" si="0"/>
        <v/>
      </c>
      <c r="J17" t="e">
        <f>IF(#REF!=K17,1)</f>
        <v>#REF!</v>
      </c>
      <c r="K17">
        <v>2018</v>
      </c>
      <c r="M17">
        <v>1</v>
      </c>
      <c r="N17" t="str">
        <f>IFERROR(INDEX(K:K,MATCH(M17,J:J,0)),"")</f>
        <v/>
      </c>
      <c r="O17" t="s">
        <v>281</v>
      </c>
      <c r="P17">
        <v>1</v>
      </c>
      <c r="V17" t="s">
        <v>192</v>
      </c>
      <c r="X17" s="103"/>
      <c r="Y17" s="103">
        <v>0.95</v>
      </c>
      <c r="Z17" s="103">
        <v>1.6952315640125115E-2</v>
      </c>
      <c r="AA17" t="s">
        <v>282</v>
      </c>
    </row>
    <row r="18" spans="1:27" ht="15" customHeight="1">
      <c r="D18" t="e">
        <f>IF(#REF!=E18,1+MAX($D$3:D17))</f>
        <v>#REF!</v>
      </c>
      <c r="E18" t="s">
        <v>224</v>
      </c>
      <c r="F18" t="s">
        <v>283</v>
      </c>
      <c r="H18">
        <v>15</v>
      </c>
      <c r="I18" t="str">
        <f t="shared" si="0"/>
        <v/>
      </c>
      <c r="J18" t="e">
        <f>IF(#REF!=K18,1)</f>
        <v>#REF!</v>
      </c>
      <c r="K18">
        <v>2019</v>
      </c>
      <c r="M18">
        <v>2</v>
      </c>
      <c r="N18" t="e">
        <f>N17+1</f>
        <v>#VALUE!</v>
      </c>
      <c r="O18" t="s">
        <v>284</v>
      </c>
      <c r="P18">
        <v>2</v>
      </c>
      <c r="V18" t="s">
        <v>194</v>
      </c>
      <c r="W18" s="103">
        <v>0.75</v>
      </c>
      <c r="X18" s="103">
        <v>0.13397447772918455</v>
      </c>
      <c r="Z18" s="103"/>
      <c r="AA18" t="s">
        <v>232</v>
      </c>
    </row>
    <row r="19" spans="1:27" ht="15" customHeight="1">
      <c r="D19" t="e">
        <f>IF(#REF!=E19,1+MAX($D$3:D18))</f>
        <v>#REF!</v>
      </c>
      <c r="E19" t="s">
        <v>224</v>
      </c>
      <c r="F19" t="s">
        <v>285</v>
      </c>
      <c r="H19">
        <v>16</v>
      </c>
      <c r="I19" t="str">
        <f t="shared" si="0"/>
        <v/>
      </c>
      <c r="J19" t="e">
        <f>IF(#REF!=K19,1)</f>
        <v>#REF!</v>
      </c>
      <c r="K19">
        <v>2020</v>
      </c>
      <c r="M19">
        <v>3</v>
      </c>
      <c r="N19" t="e">
        <f>N18+1</f>
        <v>#VALUE!</v>
      </c>
      <c r="O19" t="s">
        <v>286</v>
      </c>
      <c r="P19">
        <v>3</v>
      </c>
      <c r="V19" t="s">
        <v>195</v>
      </c>
      <c r="W19" s="105">
        <v>0.56999999999999995</v>
      </c>
      <c r="X19" s="103">
        <v>0.24501693383181761</v>
      </c>
      <c r="Z19" s="103"/>
      <c r="AA19" t="s">
        <v>256</v>
      </c>
    </row>
    <row r="20" spans="1:27" ht="15" customHeight="1">
      <c r="D20" t="e">
        <f>IF(#REF!=E20,1+MAX($D$3:D19))</f>
        <v>#REF!</v>
      </c>
      <c r="E20" t="s">
        <v>224</v>
      </c>
      <c r="F20" t="s">
        <v>287</v>
      </c>
      <c r="H20">
        <v>17</v>
      </c>
      <c r="I20" t="str">
        <f t="shared" si="0"/>
        <v/>
      </c>
      <c r="J20" t="e">
        <f>IF(#REF!=K20,1)</f>
        <v>#REF!</v>
      </c>
      <c r="K20">
        <v>2021</v>
      </c>
      <c r="M20">
        <v>4</v>
      </c>
      <c r="N20" t="e">
        <f>N19+1</f>
        <v>#VALUE!</v>
      </c>
      <c r="O20" t="s">
        <v>288</v>
      </c>
      <c r="P20">
        <v>4</v>
      </c>
      <c r="V20" t="s">
        <v>196</v>
      </c>
      <c r="W20" s="105">
        <v>0.61</v>
      </c>
      <c r="X20" s="103">
        <v>0.21897518107698499</v>
      </c>
      <c r="Y20" s="103">
        <v>0.69</v>
      </c>
      <c r="Z20" s="103">
        <v>0.11634435155026877</v>
      </c>
      <c r="AA20" t="s">
        <v>289</v>
      </c>
    </row>
    <row r="21" spans="1:27" ht="15" customHeight="1">
      <c r="D21" t="e">
        <f>IF(#REF!=E21,1+MAX($D$3:D20))</f>
        <v>#REF!</v>
      </c>
      <c r="E21" t="s">
        <v>224</v>
      </c>
      <c r="F21" t="s">
        <v>290</v>
      </c>
      <c r="H21">
        <v>18</v>
      </c>
      <c r="I21" t="str">
        <f t="shared" si="0"/>
        <v/>
      </c>
      <c r="J21" t="e">
        <f>IF(#REF!=K21,1)</f>
        <v>#REF!</v>
      </c>
      <c r="K21">
        <v>2022</v>
      </c>
      <c r="M21">
        <v>5</v>
      </c>
      <c r="N21" t="e">
        <f>N20+1</f>
        <v>#VALUE!</v>
      </c>
      <c r="O21" t="s">
        <v>291</v>
      </c>
      <c r="P21">
        <v>5</v>
      </c>
      <c r="V21" t="s">
        <v>197</v>
      </c>
      <c r="W21" s="105">
        <v>0.73</v>
      </c>
      <c r="X21" s="103">
        <v>0.14000000000000001</v>
      </c>
      <c r="Y21" s="103"/>
      <c r="Z21" s="103"/>
      <c r="AA21" t="s">
        <v>292</v>
      </c>
    </row>
    <row r="22" spans="1:27" ht="15" customHeight="1">
      <c r="D22" t="e">
        <f>IF(#REF!=E22,1+MAX($D$3:D21))</f>
        <v>#REF!</v>
      </c>
      <c r="E22" t="s">
        <v>224</v>
      </c>
      <c r="F22" t="s">
        <v>293</v>
      </c>
      <c r="H22">
        <v>19</v>
      </c>
      <c r="I22" t="str">
        <f t="shared" si="0"/>
        <v/>
      </c>
      <c r="J22" t="e">
        <f>IF(#REF!=K22,1)</f>
        <v>#REF!</v>
      </c>
      <c r="K22">
        <v>2023</v>
      </c>
      <c r="M22">
        <v>6</v>
      </c>
      <c r="N22" t="e">
        <f>N21+1</f>
        <v>#VALUE!</v>
      </c>
      <c r="O22" t="s">
        <v>294</v>
      </c>
      <c r="P22">
        <v>6</v>
      </c>
      <c r="V22" t="s">
        <v>198</v>
      </c>
      <c r="W22" s="103"/>
      <c r="X22" s="103"/>
      <c r="Y22" s="103">
        <v>0.77</v>
      </c>
      <c r="Z22" s="103">
        <v>8.3434312439598507E-2</v>
      </c>
      <c r="AA22" t="s">
        <v>266</v>
      </c>
    </row>
    <row r="23" spans="1:27">
      <c r="D23" t="e">
        <f>IF(#REF!=E23,1+MAX($D$3:D22))</f>
        <v>#REF!</v>
      </c>
      <c r="E23" t="s">
        <v>224</v>
      </c>
      <c r="F23" t="s">
        <v>295</v>
      </c>
      <c r="H23">
        <v>20</v>
      </c>
      <c r="I23" t="str">
        <f t="shared" si="0"/>
        <v/>
      </c>
      <c r="J23" t="e">
        <f>IF(#REF!=K23,1)</f>
        <v>#REF!</v>
      </c>
      <c r="K23">
        <v>2024</v>
      </c>
      <c r="O23" t="s">
        <v>296</v>
      </c>
      <c r="P23">
        <v>7</v>
      </c>
      <c r="V23" t="s">
        <v>199</v>
      </c>
      <c r="W23" s="103">
        <v>0.63</v>
      </c>
      <c r="X23" s="103">
        <v>0.20627472528429391</v>
      </c>
      <c r="Z23" s="103"/>
      <c r="AA23" t="s">
        <v>297</v>
      </c>
    </row>
    <row r="24" spans="1:27" ht="15" customHeight="1">
      <c r="D24" t="e">
        <f>IF(#REF!=E24,1+MAX($D$3:D23))</f>
        <v>#REF!</v>
      </c>
      <c r="E24" t="s">
        <v>224</v>
      </c>
      <c r="F24" t="s">
        <v>298</v>
      </c>
      <c r="H24">
        <v>21</v>
      </c>
      <c r="I24" t="str">
        <f t="shared" si="0"/>
        <v/>
      </c>
      <c r="J24" t="e">
        <f>IF(#REF!=K24,1)</f>
        <v>#REF!</v>
      </c>
      <c r="K24">
        <v>2025</v>
      </c>
      <c r="O24" t="s">
        <v>299</v>
      </c>
      <c r="P24">
        <v>8</v>
      </c>
      <c r="V24" t="s">
        <v>201</v>
      </c>
      <c r="W24" s="103">
        <v>0.8</v>
      </c>
      <c r="X24" s="103">
        <v>0.10557290848735607</v>
      </c>
      <c r="Y24" s="103">
        <v>0.62</v>
      </c>
      <c r="Z24" s="103">
        <v>0.14729800706720939</v>
      </c>
      <c r="AA24" t="s">
        <v>300</v>
      </c>
    </row>
    <row r="25" spans="1:27" ht="15.75" customHeight="1">
      <c r="D25" t="e">
        <f>IF(#REF!=E25,1+MAX($D$3:D24))</f>
        <v>#REF!</v>
      </c>
      <c r="E25" t="s">
        <v>233</v>
      </c>
      <c r="F25" t="s">
        <v>301</v>
      </c>
      <c r="H25">
        <v>22</v>
      </c>
      <c r="I25" t="str">
        <f t="shared" si="0"/>
        <v/>
      </c>
      <c r="J25" t="e">
        <f>IF(#REF!=K25,1)</f>
        <v>#REF!</v>
      </c>
      <c r="K25">
        <v>2026</v>
      </c>
      <c r="O25" t="s">
        <v>302</v>
      </c>
      <c r="P25">
        <v>9</v>
      </c>
      <c r="V25" t="s">
        <v>303</v>
      </c>
      <c r="W25" s="103">
        <v>0.68</v>
      </c>
      <c r="X25" s="103">
        <v>0.17537891502922465</v>
      </c>
      <c r="Z25" s="103"/>
      <c r="AA25" t="s">
        <v>223</v>
      </c>
    </row>
    <row r="26" spans="1:27" ht="26.25" customHeight="1">
      <c r="D26" t="e">
        <f>IF(#REF!=E26,1+MAX($D$3:D25))</f>
        <v>#REF!</v>
      </c>
      <c r="E26" t="s">
        <v>233</v>
      </c>
      <c r="F26" t="s">
        <v>304</v>
      </c>
      <c r="H26">
        <v>23</v>
      </c>
      <c r="I26" t="str">
        <f t="shared" si="0"/>
        <v/>
      </c>
      <c r="O26" t="s">
        <v>305</v>
      </c>
      <c r="P26">
        <v>10</v>
      </c>
      <c r="V26" t="s">
        <v>203</v>
      </c>
      <c r="W26" s="103">
        <v>0.57999999999999996</v>
      </c>
      <c r="X26" s="103">
        <v>0.23842273390915772</v>
      </c>
      <c r="Z26" s="103"/>
      <c r="AA26" t="s">
        <v>256</v>
      </c>
    </row>
    <row r="27" spans="1:27">
      <c r="D27" t="e">
        <f>IF(#REF!=E27,1+MAX($D$3:D26))</f>
        <v>#REF!</v>
      </c>
      <c r="E27" t="s">
        <v>233</v>
      </c>
      <c r="F27" t="s">
        <v>306</v>
      </c>
      <c r="H27">
        <v>24</v>
      </c>
      <c r="I27" t="str">
        <f t="shared" si="0"/>
        <v/>
      </c>
      <c r="J27" t="e">
        <f>#REF!</f>
        <v>#REF!</v>
      </c>
      <c r="O27" t="s">
        <v>307</v>
      </c>
      <c r="P27">
        <v>11</v>
      </c>
    </row>
    <row r="28" spans="1:27" ht="15" customHeight="1">
      <c r="I28" t="str">
        <f t="shared" si="0"/>
        <v/>
      </c>
      <c r="O28" t="s">
        <v>308</v>
      </c>
      <c r="P28">
        <v>12</v>
      </c>
    </row>
    <row r="29" spans="1:27" ht="15" customHeight="1">
      <c r="I29" t="str">
        <f t="shared" si="0"/>
        <v/>
      </c>
    </row>
    <row r="30" spans="1:27" ht="15" customHeight="1">
      <c r="B30" t="s">
        <v>309</v>
      </c>
      <c r="F30" s="7">
        <v>2018</v>
      </c>
      <c r="G30" s="7">
        <v>2019</v>
      </c>
      <c r="H30" s="7">
        <v>2020</v>
      </c>
      <c r="I30" s="7">
        <v>2021</v>
      </c>
      <c r="J30" s="7">
        <v>2022</v>
      </c>
      <c r="K30" s="7">
        <v>2023</v>
      </c>
      <c r="L30" s="7">
        <v>2024</v>
      </c>
      <c r="M30" s="7">
        <v>2025</v>
      </c>
      <c r="N30" s="7">
        <v>2026</v>
      </c>
      <c r="O30" s="7">
        <v>2027</v>
      </c>
      <c r="P30" s="7">
        <v>2028</v>
      </c>
      <c r="Q30" s="7">
        <v>2029</v>
      </c>
      <c r="R30" s="7">
        <v>2030</v>
      </c>
      <c r="V30" t="s">
        <v>310</v>
      </c>
    </row>
    <row r="31" spans="1:27">
      <c r="B31" s="56" t="s">
        <v>252</v>
      </c>
      <c r="C31" s="56">
        <v>1</v>
      </c>
      <c r="D31" t="str">
        <f>B31&amp;C31</f>
        <v>Level A1</v>
      </c>
      <c r="F31" s="53">
        <v>81531.865040748991</v>
      </c>
      <c r="G31" s="53" t="e">
        <f>F31*(1+#REF!)</f>
        <v>#REF!</v>
      </c>
      <c r="H31" s="53" t="e">
        <f>G31*(1+#REF!)</f>
        <v>#REF!</v>
      </c>
      <c r="I31" s="53" t="e">
        <f>H31*(1+#REF!)</f>
        <v>#REF!</v>
      </c>
      <c r="J31" s="53" t="e">
        <f>I31*(1+#REF!)</f>
        <v>#REF!</v>
      </c>
      <c r="K31" s="53" t="e">
        <f>J31*(1+#REF!)</f>
        <v>#REF!</v>
      </c>
      <c r="L31" s="53" t="e">
        <f>K31*(1+#REF!)</f>
        <v>#REF!</v>
      </c>
      <c r="M31" s="53" t="e">
        <f>L31*(1+#REF!)</f>
        <v>#REF!</v>
      </c>
      <c r="N31" s="53" t="e">
        <f>M31*(1+#REF!)</f>
        <v>#REF!</v>
      </c>
      <c r="O31" s="53" t="e">
        <f>N31*(1+#REF!)</f>
        <v>#REF!</v>
      </c>
      <c r="P31" s="53" t="e">
        <f>O31*(1+#REF!)</f>
        <v>#REF!</v>
      </c>
      <c r="Q31" s="53" t="e">
        <f>P31*(1+#REF!)</f>
        <v>#REF!</v>
      </c>
      <c r="R31" s="53" t="e">
        <f>Q31*(1+#REF!)</f>
        <v>#REF!</v>
      </c>
      <c r="V31" t="s">
        <v>311</v>
      </c>
    </row>
    <row r="32" spans="1:27" ht="15" customHeight="1">
      <c r="B32" s="56" t="s">
        <v>252</v>
      </c>
      <c r="C32" s="56">
        <v>2</v>
      </c>
      <c r="D32" t="str">
        <f t="shared" ref="D32:D95" si="1">B32&amp;C32</f>
        <v>Level A2</v>
      </c>
      <c r="F32" s="53">
        <v>86073.052122417997</v>
      </c>
      <c r="G32" s="53" t="e">
        <f>F32*(1+#REF!)</f>
        <v>#REF!</v>
      </c>
      <c r="H32" s="53" t="e">
        <f>G32*(1+#REF!)</f>
        <v>#REF!</v>
      </c>
      <c r="I32" s="53" t="e">
        <f>H32*(1+#REF!)</f>
        <v>#REF!</v>
      </c>
      <c r="J32" s="53" t="e">
        <f>I32*(1+#REF!)</f>
        <v>#REF!</v>
      </c>
      <c r="K32" s="53" t="e">
        <f>J32*(1+#REF!)</f>
        <v>#REF!</v>
      </c>
      <c r="L32" s="53" t="e">
        <f>K32*(1+#REF!)</f>
        <v>#REF!</v>
      </c>
      <c r="M32" s="53" t="e">
        <f>L32*(1+#REF!)</f>
        <v>#REF!</v>
      </c>
      <c r="N32" s="53" t="e">
        <f>M32*(1+#REF!)</f>
        <v>#REF!</v>
      </c>
      <c r="O32" s="53" t="e">
        <f>N32*(1+#REF!)</f>
        <v>#REF!</v>
      </c>
      <c r="P32" s="53" t="e">
        <f>O32*(1+#REF!)</f>
        <v>#REF!</v>
      </c>
      <c r="Q32" s="53" t="e">
        <f>P32*(1+#REF!)</f>
        <v>#REF!</v>
      </c>
      <c r="R32" s="53" t="e">
        <f>Q32*(1+#REF!)</f>
        <v>#REF!</v>
      </c>
      <c r="V32" t="s">
        <v>312</v>
      </c>
    </row>
    <row r="33" spans="2:22" ht="15" customHeight="1">
      <c r="B33" s="56" t="s">
        <v>252</v>
      </c>
      <c r="C33" s="56">
        <v>3</v>
      </c>
      <c r="D33" t="str">
        <f t="shared" si="1"/>
        <v>Level A3</v>
      </c>
      <c r="F33" s="53">
        <v>90618.982621165182</v>
      </c>
      <c r="G33" s="53" t="e">
        <f>F33*(1+#REF!)</f>
        <v>#REF!</v>
      </c>
      <c r="H33" s="53" t="e">
        <f>G33*(1+#REF!)</f>
        <v>#REF!</v>
      </c>
      <c r="I33" s="53" t="e">
        <f>H33*(1+#REF!)</f>
        <v>#REF!</v>
      </c>
      <c r="J33" s="53" t="e">
        <f>I33*(1+#REF!)</f>
        <v>#REF!</v>
      </c>
      <c r="K33" s="53" t="e">
        <f>J33*(1+#REF!)</f>
        <v>#REF!</v>
      </c>
      <c r="L33" s="53" t="e">
        <f>K33*(1+#REF!)</f>
        <v>#REF!</v>
      </c>
      <c r="M33" s="53" t="e">
        <f>L33*(1+#REF!)</f>
        <v>#REF!</v>
      </c>
      <c r="N33" s="53" t="e">
        <f>M33*(1+#REF!)</f>
        <v>#REF!</v>
      </c>
      <c r="O33" s="53" t="e">
        <f>N33*(1+#REF!)</f>
        <v>#REF!</v>
      </c>
      <c r="P33" s="53" t="e">
        <f>O33*(1+#REF!)</f>
        <v>#REF!</v>
      </c>
      <c r="Q33" s="53" t="e">
        <f>P33*(1+#REF!)</f>
        <v>#REF!</v>
      </c>
      <c r="R33" s="53" t="e">
        <f>Q33*(1+#REF!)</f>
        <v>#REF!</v>
      </c>
      <c r="V33" t="s">
        <v>313</v>
      </c>
    </row>
    <row r="34" spans="2:22" ht="15" customHeight="1">
      <c r="B34" s="56" t="s">
        <v>252</v>
      </c>
      <c r="C34" s="56">
        <v>4</v>
      </c>
      <c r="D34" t="str">
        <f t="shared" si="1"/>
        <v>Level A4</v>
      </c>
      <c r="F34" s="53">
        <v>95164.913122417594</v>
      </c>
      <c r="G34" s="53" t="e">
        <f>F34*(1+#REF!)</f>
        <v>#REF!</v>
      </c>
      <c r="H34" s="53" t="e">
        <f>G34*(1+#REF!)</f>
        <v>#REF!</v>
      </c>
      <c r="I34" s="53" t="e">
        <f>H34*(1+#REF!)</f>
        <v>#REF!</v>
      </c>
      <c r="J34" s="53" t="e">
        <f>I34*(1+#REF!)</f>
        <v>#REF!</v>
      </c>
      <c r="K34" s="53" t="e">
        <f>J34*(1+#REF!)</f>
        <v>#REF!</v>
      </c>
      <c r="L34" s="53" t="e">
        <f>K34*(1+#REF!)</f>
        <v>#REF!</v>
      </c>
      <c r="M34" s="53" t="e">
        <f>L34*(1+#REF!)</f>
        <v>#REF!</v>
      </c>
      <c r="N34" s="53" t="e">
        <f>M34*(1+#REF!)</f>
        <v>#REF!</v>
      </c>
      <c r="O34" s="53" t="e">
        <f>N34*(1+#REF!)</f>
        <v>#REF!</v>
      </c>
      <c r="P34" s="53" t="e">
        <f>O34*(1+#REF!)</f>
        <v>#REF!</v>
      </c>
      <c r="Q34" s="53" t="e">
        <f>P34*(1+#REF!)</f>
        <v>#REF!</v>
      </c>
      <c r="R34" s="53" t="e">
        <f>Q34*(1+#REF!)</f>
        <v>#REF!</v>
      </c>
      <c r="V34" t="s">
        <v>314</v>
      </c>
    </row>
    <row r="35" spans="2:22" ht="15" customHeight="1">
      <c r="B35" s="56" t="s">
        <v>252</v>
      </c>
      <c r="C35" s="56">
        <v>5</v>
      </c>
      <c r="D35" t="str">
        <f t="shared" si="1"/>
        <v>Level A5</v>
      </c>
      <c r="F35" s="53">
        <v>98857.593524803204</v>
      </c>
      <c r="G35" s="53" t="e">
        <f>F35*(1+#REF!)</f>
        <v>#REF!</v>
      </c>
      <c r="H35" s="53" t="e">
        <f>G35*(1+#REF!)</f>
        <v>#REF!</v>
      </c>
      <c r="I35" s="53" t="e">
        <f>H35*(1+#REF!)</f>
        <v>#REF!</v>
      </c>
      <c r="J35" s="53" t="e">
        <f>I35*(1+#REF!)</f>
        <v>#REF!</v>
      </c>
      <c r="K35" s="53" t="e">
        <f>J35*(1+#REF!)</f>
        <v>#REF!</v>
      </c>
      <c r="L35" s="53" t="e">
        <f>K35*(1+#REF!)</f>
        <v>#REF!</v>
      </c>
      <c r="M35" s="53" t="e">
        <f>L35*(1+#REF!)</f>
        <v>#REF!</v>
      </c>
      <c r="N35" s="53" t="e">
        <f>M35*(1+#REF!)</f>
        <v>#REF!</v>
      </c>
      <c r="O35" s="53" t="e">
        <f>N35*(1+#REF!)</f>
        <v>#REF!</v>
      </c>
      <c r="P35" s="53" t="e">
        <f>O35*(1+#REF!)</f>
        <v>#REF!</v>
      </c>
      <c r="Q35" s="53" t="e">
        <f>P35*(1+#REF!)</f>
        <v>#REF!</v>
      </c>
      <c r="R35" s="53" t="e">
        <f>Q35*(1+#REF!)</f>
        <v>#REF!</v>
      </c>
    </row>
    <row r="36" spans="2:22" ht="15" customHeight="1">
      <c r="B36" s="56" t="s">
        <v>252</v>
      </c>
      <c r="C36" s="56">
        <v>6</v>
      </c>
      <c r="D36" t="str">
        <f t="shared" si="1"/>
        <v>Level A6</v>
      </c>
      <c r="F36" s="53">
        <v>102554.62735602519</v>
      </c>
      <c r="G36" s="53" t="e">
        <f>F36*(1+#REF!)</f>
        <v>#REF!</v>
      </c>
      <c r="H36" s="53" t="e">
        <f>G36*(1+#REF!)</f>
        <v>#REF!</v>
      </c>
      <c r="I36" s="53" t="e">
        <f>H36*(1+#REF!)</f>
        <v>#REF!</v>
      </c>
      <c r="J36" s="53" t="e">
        <f>I36*(1+#REF!)</f>
        <v>#REF!</v>
      </c>
      <c r="K36" s="53" t="e">
        <f>J36*(1+#REF!)</f>
        <v>#REF!</v>
      </c>
      <c r="L36" s="53" t="e">
        <f>K36*(1+#REF!)</f>
        <v>#REF!</v>
      </c>
      <c r="M36" s="53" t="e">
        <f>L36*(1+#REF!)</f>
        <v>#REF!</v>
      </c>
      <c r="N36" s="53" t="e">
        <f>M36*(1+#REF!)</f>
        <v>#REF!</v>
      </c>
      <c r="O36" s="53" t="e">
        <f>N36*(1+#REF!)</f>
        <v>#REF!</v>
      </c>
      <c r="P36" s="53" t="e">
        <f>O36*(1+#REF!)</f>
        <v>#REF!</v>
      </c>
      <c r="Q36" s="53" t="e">
        <f>P36*(1+#REF!)</f>
        <v>#REF!</v>
      </c>
      <c r="R36" s="53" t="e">
        <f>Q36*(1+#REF!)</f>
        <v>#REF!</v>
      </c>
    </row>
    <row r="37" spans="2:22" ht="15" customHeight="1">
      <c r="B37" s="56" t="s">
        <v>252</v>
      </c>
      <c r="C37" s="56">
        <v>7</v>
      </c>
      <c r="D37" t="str">
        <f t="shared" si="1"/>
        <v>Level A7</v>
      </c>
      <c r="F37" s="53">
        <v>106323.57021381099</v>
      </c>
      <c r="G37" s="53" t="e">
        <f>F37*(1+#REF!)</f>
        <v>#REF!</v>
      </c>
      <c r="H37" s="53" t="e">
        <f>G37*(1+#REF!)</f>
        <v>#REF!</v>
      </c>
      <c r="I37" s="53" t="e">
        <f>H37*(1+#REF!)</f>
        <v>#REF!</v>
      </c>
      <c r="J37" s="53" t="e">
        <f>I37*(1+#REF!)</f>
        <v>#REF!</v>
      </c>
      <c r="K37" s="53" t="e">
        <f>J37*(1+#REF!)</f>
        <v>#REF!</v>
      </c>
      <c r="L37" s="53" t="e">
        <f>K37*(1+#REF!)</f>
        <v>#REF!</v>
      </c>
      <c r="M37" s="53" t="e">
        <f>L37*(1+#REF!)</f>
        <v>#REF!</v>
      </c>
      <c r="N37" s="53" t="e">
        <f>M37*(1+#REF!)</f>
        <v>#REF!</v>
      </c>
      <c r="O37" s="53" t="e">
        <f>N37*(1+#REF!)</f>
        <v>#REF!</v>
      </c>
      <c r="P37" s="53" t="e">
        <f>O37*(1+#REF!)</f>
        <v>#REF!</v>
      </c>
      <c r="Q37" s="53" t="e">
        <f>P37*(1+#REF!)</f>
        <v>#REF!</v>
      </c>
      <c r="R37" s="53" t="e">
        <f>Q37*(1+#REF!)</f>
        <v>#REF!</v>
      </c>
    </row>
    <row r="38" spans="2:22" ht="15" customHeight="1">
      <c r="B38" s="56" t="s">
        <v>252</v>
      </c>
      <c r="C38" s="56">
        <v>8</v>
      </c>
      <c r="D38" t="str">
        <f t="shared" si="1"/>
        <v>Level A8</v>
      </c>
      <c r="F38" s="53">
        <v>110082.8570888416</v>
      </c>
      <c r="G38" s="53" t="e">
        <f>F38*(1+#REF!)</f>
        <v>#REF!</v>
      </c>
      <c r="H38" s="53" t="e">
        <f>G38*(1+#REF!)</f>
        <v>#REF!</v>
      </c>
      <c r="I38" s="53" t="e">
        <f>H38*(1+#REF!)</f>
        <v>#REF!</v>
      </c>
      <c r="J38" s="53" t="e">
        <f>I38*(1+#REF!)</f>
        <v>#REF!</v>
      </c>
      <c r="K38" s="53" t="e">
        <f>J38*(1+#REF!)</f>
        <v>#REF!</v>
      </c>
      <c r="L38" s="53" t="e">
        <f>K38*(1+#REF!)</f>
        <v>#REF!</v>
      </c>
      <c r="M38" s="53" t="e">
        <f>L38*(1+#REF!)</f>
        <v>#REF!</v>
      </c>
      <c r="N38" s="53" t="e">
        <f>M38*(1+#REF!)</f>
        <v>#REF!</v>
      </c>
      <c r="O38" s="53" t="e">
        <f>N38*(1+#REF!)</f>
        <v>#REF!</v>
      </c>
      <c r="P38" s="53" t="e">
        <f>O38*(1+#REF!)</f>
        <v>#REF!</v>
      </c>
      <c r="Q38" s="53" t="e">
        <f>P38*(1+#REF!)</f>
        <v>#REF!</v>
      </c>
      <c r="R38" s="53" t="e">
        <f>Q38*(1+#REF!)</f>
        <v>#REF!</v>
      </c>
    </row>
    <row r="39" spans="2:22" ht="15" customHeight="1">
      <c r="B39" s="56" t="s">
        <v>244</v>
      </c>
      <c r="C39" s="56">
        <v>1</v>
      </c>
      <c r="D39" t="str">
        <f t="shared" si="1"/>
        <v>Level B1</v>
      </c>
      <c r="F39" s="53">
        <v>115880.11260613198</v>
      </c>
      <c r="G39" s="53" t="e">
        <f>F39*(1+#REF!)</f>
        <v>#REF!</v>
      </c>
      <c r="H39" s="53" t="e">
        <f>G39*(1+#REF!)</f>
        <v>#REF!</v>
      </c>
      <c r="I39" s="53" t="e">
        <f>H39*(1+#REF!)</f>
        <v>#REF!</v>
      </c>
      <c r="J39" s="53" t="e">
        <f>I39*(1+#REF!)</f>
        <v>#REF!</v>
      </c>
      <c r="K39" s="53" t="e">
        <f>J39*(1+#REF!)</f>
        <v>#REF!</v>
      </c>
      <c r="L39" s="53" t="e">
        <f>K39*(1+#REF!)</f>
        <v>#REF!</v>
      </c>
      <c r="M39" s="53" t="e">
        <f>L39*(1+#REF!)</f>
        <v>#REF!</v>
      </c>
      <c r="N39" s="53" t="e">
        <f>M39*(1+#REF!)</f>
        <v>#REF!</v>
      </c>
      <c r="O39" s="53" t="e">
        <f>N39*(1+#REF!)</f>
        <v>#REF!</v>
      </c>
      <c r="P39" s="53" t="e">
        <f>O39*(1+#REF!)</f>
        <v>#REF!</v>
      </c>
      <c r="Q39" s="53" t="e">
        <f>P39*(1+#REF!)</f>
        <v>#REF!</v>
      </c>
      <c r="R39" s="53" t="e">
        <f>Q39*(1+#REF!)</f>
        <v>#REF!</v>
      </c>
    </row>
    <row r="40" spans="2:22" ht="15" customHeight="1">
      <c r="B40" s="56" t="s">
        <v>244</v>
      </c>
      <c r="C40" s="56">
        <v>2</v>
      </c>
      <c r="D40" t="str">
        <f t="shared" si="1"/>
        <v>Level B2</v>
      </c>
      <c r="F40" s="53">
        <v>120229.27925808998</v>
      </c>
      <c r="G40" s="53" t="e">
        <f>F40*(1+#REF!)</f>
        <v>#REF!</v>
      </c>
      <c r="H40" s="53" t="e">
        <f>G40*(1+#REF!)</f>
        <v>#REF!</v>
      </c>
      <c r="I40" s="53" t="e">
        <f>H40*(1+#REF!)</f>
        <v>#REF!</v>
      </c>
      <c r="J40" s="53" t="e">
        <f>I40*(1+#REF!)</f>
        <v>#REF!</v>
      </c>
      <c r="K40" s="53" t="e">
        <f>J40*(1+#REF!)</f>
        <v>#REF!</v>
      </c>
      <c r="L40" s="53" t="e">
        <f>K40*(1+#REF!)</f>
        <v>#REF!</v>
      </c>
      <c r="M40" s="53" t="e">
        <f>L40*(1+#REF!)</f>
        <v>#REF!</v>
      </c>
      <c r="N40" s="53" t="e">
        <f>M40*(1+#REF!)</f>
        <v>#REF!</v>
      </c>
      <c r="O40" s="53" t="e">
        <f>N40*(1+#REF!)</f>
        <v>#REF!</v>
      </c>
      <c r="P40" s="53" t="e">
        <f>O40*(1+#REF!)</f>
        <v>#REF!</v>
      </c>
      <c r="Q40" s="53" t="e">
        <f>P40*(1+#REF!)</f>
        <v>#REF!</v>
      </c>
      <c r="R40" s="53" t="e">
        <f>Q40*(1+#REF!)</f>
        <v>#REF!</v>
      </c>
    </row>
    <row r="41" spans="2:22" ht="15" customHeight="1">
      <c r="B41" s="56" t="s">
        <v>244</v>
      </c>
      <c r="C41" s="56">
        <v>3</v>
      </c>
      <c r="D41" t="str">
        <f t="shared" si="1"/>
        <v>Level B3</v>
      </c>
      <c r="F41" s="53">
        <v>124571.19877229039</v>
      </c>
      <c r="G41" s="53" t="e">
        <f>F41*(1+#REF!)</f>
        <v>#REF!</v>
      </c>
      <c r="H41" s="53" t="e">
        <f>G41*(1+#REF!)</f>
        <v>#REF!</v>
      </c>
      <c r="I41" s="53" t="e">
        <f>H41*(1+#REF!)</f>
        <v>#REF!</v>
      </c>
      <c r="J41" s="53" t="e">
        <f>I41*(1+#REF!)</f>
        <v>#REF!</v>
      </c>
      <c r="K41" s="53" t="e">
        <f>J41*(1+#REF!)</f>
        <v>#REF!</v>
      </c>
      <c r="L41" s="53" t="e">
        <f>K41*(1+#REF!)</f>
        <v>#REF!</v>
      </c>
      <c r="M41" s="53" t="e">
        <f>L41*(1+#REF!)</f>
        <v>#REF!</v>
      </c>
      <c r="N41" s="53" t="e">
        <f>M41*(1+#REF!)</f>
        <v>#REF!</v>
      </c>
      <c r="O41" s="53" t="e">
        <f>N41*(1+#REF!)</f>
        <v>#REF!</v>
      </c>
      <c r="P41" s="53" t="e">
        <f>O41*(1+#REF!)</f>
        <v>#REF!</v>
      </c>
      <c r="Q41" s="53" t="e">
        <f>P41*(1+#REF!)</f>
        <v>#REF!</v>
      </c>
      <c r="R41" s="53" t="e">
        <f>Q41*(1+#REF!)</f>
        <v>#REF!</v>
      </c>
    </row>
    <row r="42" spans="2:22" ht="15" customHeight="1">
      <c r="B42" s="56" t="s">
        <v>244</v>
      </c>
      <c r="C42" s="56">
        <v>4</v>
      </c>
      <c r="D42" t="str">
        <f t="shared" si="1"/>
        <v>Level B4</v>
      </c>
      <c r="F42" s="53">
        <v>128917.93598650678</v>
      </c>
      <c r="G42" s="53" t="e">
        <f>F42*(1+#REF!)</f>
        <v>#REF!</v>
      </c>
      <c r="H42" s="53" t="e">
        <f>G42*(1+#REF!)</f>
        <v>#REF!</v>
      </c>
      <c r="I42" s="53" t="e">
        <f>H42*(1+#REF!)</f>
        <v>#REF!</v>
      </c>
      <c r="J42" s="53" t="e">
        <f>I42*(1+#REF!)</f>
        <v>#REF!</v>
      </c>
      <c r="K42" s="53" t="e">
        <f>J42*(1+#REF!)</f>
        <v>#REF!</v>
      </c>
      <c r="L42" s="53" t="e">
        <f>K42*(1+#REF!)</f>
        <v>#REF!</v>
      </c>
      <c r="M42" s="53" t="e">
        <f>L42*(1+#REF!)</f>
        <v>#REF!</v>
      </c>
      <c r="N42" s="53" t="e">
        <f>M42*(1+#REF!)</f>
        <v>#REF!</v>
      </c>
      <c r="O42" s="53" t="e">
        <f>N42*(1+#REF!)</f>
        <v>#REF!</v>
      </c>
      <c r="P42" s="53" t="e">
        <f>O42*(1+#REF!)</f>
        <v>#REF!</v>
      </c>
      <c r="Q42" s="53" t="e">
        <f>P42*(1+#REF!)</f>
        <v>#REF!</v>
      </c>
      <c r="R42" s="53" t="e">
        <f>Q42*(1+#REF!)</f>
        <v>#REF!</v>
      </c>
    </row>
    <row r="43" spans="2:22" ht="15" customHeight="1">
      <c r="B43" s="56" t="s">
        <v>244</v>
      </c>
      <c r="C43" s="56">
        <v>5</v>
      </c>
      <c r="D43" t="str">
        <f t="shared" si="1"/>
        <v>Level B5</v>
      </c>
      <c r="F43" s="53">
        <v>133262.26435196778</v>
      </c>
      <c r="G43" s="53" t="e">
        <f>F43*(1+#REF!)</f>
        <v>#REF!</v>
      </c>
      <c r="H43" s="53" t="e">
        <f>G43*(1+#REF!)</f>
        <v>#REF!</v>
      </c>
      <c r="I43" s="53" t="e">
        <f>H43*(1+#REF!)</f>
        <v>#REF!</v>
      </c>
      <c r="J43" s="53" t="e">
        <f>I43*(1+#REF!)</f>
        <v>#REF!</v>
      </c>
      <c r="K43" s="53" t="e">
        <f>J43*(1+#REF!)</f>
        <v>#REF!</v>
      </c>
      <c r="L43" s="53" t="e">
        <f>K43*(1+#REF!)</f>
        <v>#REF!</v>
      </c>
      <c r="M43" s="53" t="e">
        <f>L43*(1+#REF!)</f>
        <v>#REF!</v>
      </c>
      <c r="N43" s="53" t="e">
        <f>M43*(1+#REF!)</f>
        <v>#REF!</v>
      </c>
      <c r="O43" s="53" t="e">
        <f>N43*(1+#REF!)</f>
        <v>#REF!</v>
      </c>
      <c r="P43" s="53" t="e">
        <f>O43*(1+#REF!)</f>
        <v>#REF!</v>
      </c>
      <c r="Q43" s="53" t="e">
        <f>P43*(1+#REF!)</f>
        <v>#REF!</v>
      </c>
      <c r="R43" s="53" t="e">
        <f>Q43*(1+#REF!)</f>
        <v>#REF!</v>
      </c>
    </row>
    <row r="44" spans="2:22">
      <c r="B44" s="56" t="s">
        <v>244</v>
      </c>
      <c r="C44" s="56">
        <v>6</v>
      </c>
      <c r="D44" t="str">
        <f t="shared" si="1"/>
        <v>Level B6</v>
      </c>
      <c r="F44" s="53">
        <v>137611.4310026732</v>
      </c>
      <c r="G44" s="53" t="e">
        <f>F44*(1+#REF!)</f>
        <v>#REF!</v>
      </c>
      <c r="H44" s="53" t="e">
        <f>G44*(1+#REF!)</f>
        <v>#REF!</v>
      </c>
      <c r="I44" s="53" t="e">
        <f>H44*(1+#REF!)</f>
        <v>#REF!</v>
      </c>
      <c r="J44" s="53" t="e">
        <f>I44*(1+#REF!)</f>
        <v>#REF!</v>
      </c>
      <c r="K44" s="53" t="e">
        <f>J44*(1+#REF!)</f>
        <v>#REF!</v>
      </c>
      <c r="L44" s="53" t="e">
        <f>K44*(1+#REF!)</f>
        <v>#REF!</v>
      </c>
      <c r="M44" s="53" t="e">
        <f>L44*(1+#REF!)</f>
        <v>#REF!</v>
      </c>
      <c r="N44" s="53" t="e">
        <f>M44*(1+#REF!)</f>
        <v>#REF!</v>
      </c>
      <c r="O44" s="53" t="e">
        <f>N44*(1+#REF!)</f>
        <v>#REF!</v>
      </c>
      <c r="P44" s="53" t="e">
        <f>O44*(1+#REF!)</f>
        <v>#REF!</v>
      </c>
      <c r="Q44" s="53" t="e">
        <f>P44*(1+#REF!)</f>
        <v>#REF!</v>
      </c>
      <c r="R44" s="53" t="e">
        <f>Q44*(1+#REF!)</f>
        <v>#REF!</v>
      </c>
    </row>
    <row r="45" spans="2:22" ht="15.75" customHeight="1">
      <c r="B45" s="56" t="s">
        <v>237</v>
      </c>
      <c r="C45" s="56">
        <v>1</v>
      </c>
      <c r="D45" t="str">
        <f t="shared" si="1"/>
        <v>Level C1</v>
      </c>
      <c r="F45" s="53">
        <v>141953.32993039259</v>
      </c>
      <c r="G45" s="53" t="e">
        <f>F45*(1+#REF!)</f>
        <v>#REF!</v>
      </c>
      <c r="H45" s="53" t="e">
        <f>G45*(1+#REF!)</f>
        <v>#REF!</v>
      </c>
      <c r="I45" s="53" t="e">
        <f>H45*(1+#REF!)</f>
        <v>#REF!</v>
      </c>
      <c r="J45" s="53" t="e">
        <f>I45*(1+#REF!)</f>
        <v>#REF!</v>
      </c>
      <c r="K45" s="53" t="e">
        <f>J45*(1+#REF!)</f>
        <v>#REF!</v>
      </c>
      <c r="L45" s="53" t="e">
        <f>K45*(1+#REF!)</f>
        <v>#REF!</v>
      </c>
      <c r="M45" s="53" t="e">
        <f>L45*(1+#REF!)</f>
        <v>#REF!</v>
      </c>
      <c r="N45" s="53" t="e">
        <f>M45*(1+#REF!)</f>
        <v>#REF!</v>
      </c>
      <c r="O45" s="53" t="e">
        <f>N45*(1+#REF!)</f>
        <v>#REF!</v>
      </c>
      <c r="P45" s="53" t="e">
        <f>O45*(1+#REF!)</f>
        <v>#REF!</v>
      </c>
      <c r="Q45" s="53" t="e">
        <f>P45*(1+#REF!)</f>
        <v>#REF!</v>
      </c>
      <c r="R45" s="53" t="e">
        <f>Q45*(1+#REF!)</f>
        <v>#REF!</v>
      </c>
    </row>
    <row r="46" spans="2:22" ht="15.75" customHeight="1">
      <c r="B46" s="56" t="s">
        <v>237</v>
      </c>
      <c r="C46" s="56">
        <v>2</v>
      </c>
      <c r="D46" t="str">
        <f t="shared" si="1"/>
        <v>Level C2</v>
      </c>
      <c r="F46" s="53">
        <v>146300.067144609</v>
      </c>
      <c r="G46" s="53" t="e">
        <f>F46*(1+#REF!)</f>
        <v>#REF!</v>
      </c>
      <c r="H46" s="53" t="e">
        <f>G46*(1+#REF!)</f>
        <v>#REF!</v>
      </c>
      <c r="I46" s="53" t="e">
        <f>H46*(1+#REF!)</f>
        <v>#REF!</v>
      </c>
      <c r="J46" s="53" t="e">
        <f>I46*(1+#REF!)</f>
        <v>#REF!</v>
      </c>
      <c r="K46" s="53" t="e">
        <f>J46*(1+#REF!)</f>
        <v>#REF!</v>
      </c>
      <c r="L46" s="53" t="e">
        <f>K46*(1+#REF!)</f>
        <v>#REF!</v>
      </c>
      <c r="M46" s="53" t="e">
        <f>L46*(1+#REF!)</f>
        <v>#REF!</v>
      </c>
      <c r="N46" s="53" t="e">
        <f>M46*(1+#REF!)</f>
        <v>#REF!</v>
      </c>
      <c r="O46" s="53" t="e">
        <f>N46*(1+#REF!)</f>
        <v>#REF!</v>
      </c>
      <c r="P46" s="53" t="e">
        <f>O46*(1+#REF!)</f>
        <v>#REF!</v>
      </c>
      <c r="Q46" s="53" t="e">
        <f>P46*(1+#REF!)</f>
        <v>#REF!</v>
      </c>
      <c r="R46" s="53" t="e">
        <f>Q46*(1+#REF!)</f>
        <v>#REF!</v>
      </c>
    </row>
    <row r="47" spans="2:22" ht="15" customHeight="1">
      <c r="B47" s="56" t="s">
        <v>237</v>
      </c>
      <c r="C47" s="56">
        <v>3</v>
      </c>
      <c r="D47" t="str">
        <f t="shared" si="1"/>
        <v>Level C3</v>
      </c>
      <c r="F47" s="53">
        <v>150646.80435632018</v>
      </c>
      <c r="G47" s="53" t="e">
        <f>F47*(1+#REF!)</f>
        <v>#REF!</v>
      </c>
      <c r="H47" s="53" t="e">
        <f>G47*(1+#REF!)</f>
        <v>#REF!</v>
      </c>
      <c r="I47" s="53" t="e">
        <f>H47*(1+#REF!)</f>
        <v>#REF!</v>
      </c>
      <c r="J47" s="53" t="e">
        <f>I47*(1+#REF!)</f>
        <v>#REF!</v>
      </c>
      <c r="K47" s="53" t="e">
        <f>J47*(1+#REF!)</f>
        <v>#REF!</v>
      </c>
      <c r="L47" s="53" t="e">
        <f>K47*(1+#REF!)</f>
        <v>#REF!</v>
      </c>
      <c r="M47" s="53" t="e">
        <f>L47*(1+#REF!)</f>
        <v>#REF!</v>
      </c>
      <c r="N47" s="53" t="e">
        <f>M47*(1+#REF!)</f>
        <v>#REF!</v>
      </c>
      <c r="O47" s="53" t="e">
        <f>N47*(1+#REF!)</f>
        <v>#REF!</v>
      </c>
      <c r="P47" s="53" t="e">
        <f>O47*(1+#REF!)</f>
        <v>#REF!</v>
      </c>
      <c r="Q47" s="53" t="e">
        <f>P47*(1+#REF!)</f>
        <v>#REF!</v>
      </c>
      <c r="R47" s="53" t="e">
        <f>Q47*(1+#REF!)</f>
        <v>#REF!</v>
      </c>
    </row>
    <row r="48" spans="2:22" ht="15" customHeight="1">
      <c r="B48" s="56" t="s">
        <v>237</v>
      </c>
      <c r="C48" s="56">
        <v>4</v>
      </c>
      <c r="D48" t="str">
        <f t="shared" si="1"/>
        <v>Level C4</v>
      </c>
      <c r="F48" s="53">
        <v>154991.1533107674</v>
      </c>
      <c r="G48" s="53" t="e">
        <f>F48*(1+#REF!)</f>
        <v>#REF!</v>
      </c>
      <c r="H48" s="53" t="e">
        <f>G48*(1+#REF!)</f>
        <v>#REF!</v>
      </c>
      <c r="I48" s="53" t="e">
        <f>H48*(1+#REF!)</f>
        <v>#REF!</v>
      </c>
      <c r="J48" s="53" t="e">
        <f>I48*(1+#REF!)</f>
        <v>#REF!</v>
      </c>
      <c r="K48" s="53" t="e">
        <f>J48*(1+#REF!)</f>
        <v>#REF!</v>
      </c>
      <c r="L48" s="53" t="e">
        <f>K48*(1+#REF!)</f>
        <v>#REF!</v>
      </c>
      <c r="M48" s="53" t="e">
        <f>L48*(1+#REF!)</f>
        <v>#REF!</v>
      </c>
      <c r="N48" s="53" t="e">
        <f>M48*(1+#REF!)</f>
        <v>#REF!</v>
      </c>
      <c r="O48" s="53" t="e">
        <f>N48*(1+#REF!)</f>
        <v>#REF!</v>
      </c>
      <c r="P48" s="53" t="e">
        <f>O48*(1+#REF!)</f>
        <v>#REF!</v>
      </c>
      <c r="Q48" s="53" t="e">
        <f>P48*(1+#REF!)</f>
        <v>#REF!</v>
      </c>
      <c r="R48" s="53" t="e">
        <f>Q48*(1+#REF!)</f>
        <v>#REF!</v>
      </c>
    </row>
    <row r="49" spans="2:18">
      <c r="B49" s="56" t="s">
        <v>237</v>
      </c>
      <c r="C49" s="56">
        <v>5</v>
      </c>
      <c r="D49" t="str">
        <f t="shared" si="1"/>
        <v>Level C5</v>
      </c>
      <c r="F49" s="53">
        <v>159333.05223848679</v>
      </c>
      <c r="G49" s="53" t="e">
        <f>F49*(1+#REF!)</f>
        <v>#REF!</v>
      </c>
      <c r="H49" s="53" t="e">
        <f>G49*(1+#REF!)</f>
        <v>#REF!</v>
      </c>
      <c r="I49" s="53" t="e">
        <f>H49*(1+#REF!)</f>
        <v>#REF!</v>
      </c>
      <c r="J49" s="53" t="e">
        <f>I49*(1+#REF!)</f>
        <v>#REF!</v>
      </c>
      <c r="K49" s="53" t="e">
        <f>J49*(1+#REF!)</f>
        <v>#REF!</v>
      </c>
      <c r="L49" s="53" t="e">
        <f>K49*(1+#REF!)</f>
        <v>#REF!</v>
      </c>
      <c r="M49" s="53" t="e">
        <f>L49*(1+#REF!)</f>
        <v>#REF!</v>
      </c>
      <c r="N49" s="53" t="e">
        <f>M49*(1+#REF!)</f>
        <v>#REF!</v>
      </c>
      <c r="O49" s="53" t="e">
        <f>N49*(1+#REF!)</f>
        <v>#REF!</v>
      </c>
      <c r="P49" s="53" t="e">
        <f>O49*(1+#REF!)</f>
        <v>#REF!</v>
      </c>
      <c r="Q49" s="53" t="e">
        <f>P49*(1+#REF!)</f>
        <v>#REF!</v>
      </c>
      <c r="R49" s="53" t="e">
        <f>Q49*(1+#REF!)</f>
        <v>#REF!</v>
      </c>
    </row>
    <row r="50" spans="2:18" ht="15" customHeight="1">
      <c r="B50" s="56" t="s">
        <v>237</v>
      </c>
      <c r="C50" s="56">
        <v>6</v>
      </c>
      <c r="D50" t="str">
        <f t="shared" si="1"/>
        <v>Level C6</v>
      </c>
      <c r="F50" s="53">
        <v>163684.62773794759</v>
      </c>
      <c r="G50" s="53" t="e">
        <f>F50*(1+#REF!)</f>
        <v>#REF!</v>
      </c>
      <c r="H50" s="53" t="e">
        <f>G50*(1+#REF!)</f>
        <v>#REF!</v>
      </c>
      <c r="I50" s="53" t="e">
        <f>H50*(1+#REF!)</f>
        <v>#REF!</v>
      </c>
      <c r="J50" s="53" t="e">
        <f>I50*(1+#REF!)</f>
        <v>#REF!</v>
      </c>
      <c r="K50" s="53" t="e">
        <f>J50*(1+#REF!)</f>
        <v>#REF!</v>
      </c>
      <c r="L50" s="53" t="e">
        <f>K50*(1+#REF!)</f>
        <v>#REF!</v>
      </c>
      <c r="M50" s="53" t="e">
        <f>L50*(1+#REF!)</f>
        <v>#REF!</v>
      </c>
      <c r="N50" s="53" t="e">
        <f>M50*(1+#REF!)</f>
        <v>#REF!</v>
      </c>
      <c r="O50" s="53" t="e">
        <f>N50*(1+#REF!)</f>
        <v>#REF!</v>
      </c>
      <c r="P50" s="53" t="e">
        <f>O50*(1+#REF!)</f>
        <v>#REF!</v>
      </c>
      <c r="Q50" s="53" t="e">
        <f>P50*(1+#REF!)</f>
        <v>#REF!</v>
      </c>
      <c r="R50" s="53" t="e">
        <f>Q50*(1+#REF!)</f>
        <v>#REF!</v>
      </c>
    </row>
    <row r="51" spans="2:18" ht="15" customHeight="1">
      <c r="B51" s="56" t="s">
        <v>228</v>
      </c>
      <c r="C51" s="56">
        <v>1</v>
      </c>
      <c r="D51" t="str">
        <f t="shared" si="1"/>
        <v>Level D1</v>
      </c>
      <c r="F51" s="53">
        <v>170922.76616329039</v>
      </c>
      <c r="G51" s="53" t="e">
        <f>F51*(1+#REF!)</f>
        <v>#REF!</v>
      </c>
      <c r="H51" s="53" t="e">
        <f>G51*(1+#REF!)</f>
        <v>#REF!</v>
      </c>
      <c r="I51" s="53" t="e">
        <f>H51*(1+#REF!)</f>
        <v>#REF!</v>
      </c>
      <c r="J51" s="53" t="e">
        <f>I51*(1+#REF!)</f>
        <v>#REF!</v>
      </c>
      <c r="K51" s="53" t="e">
        <f>J51*(1+#REF!)</f>
        <v>#REF!</v>
      </c>
      <c r="L51" s="53" t="e">
        <f>K51*(1+#REF!)</f>
        <v>#REF!</v>
      </c>
      <c r="M51" s="53" t="e">
        <f>L51*(1+#REF!)</f>
        <v>#REF!</v>
      </c>
      <c r="N51" s="53" t="e">
        <f>M51*(1+#REF!)</f>
        <v>#REF!</v>
      </c>
      <c r="O51" s="53" t="e">
        <f>N51*(1+#REF!)</f>
        <v>#REF!</v>
      </c>
      <c r="P51" s="53" t="e">
        <f>O51*(1+#REF!)</f>
        <v>#REF!</v>
      </c>
      <c r="Q51" s="53" t="e">
        <f>P51*(1+#REF!)</f>
        <v>#REF!</v>
      </c>
      <c r="R51" s="53" t="e">
        <f>Q51*(1+#REF!)</f>
        <v>#REF!</v>
      </c>
    </row>
    <row r="52" spans="2:18" ht="15" customHeight="1">
      <c r="B52" s="56" t="s">
        <v>228</v>
      </c>
      <c r="C52" s="56">
        <v>2</v>
      </c>
      <c r="D52" t="str">
        <f t="shared" si="1"/>
        <v>Level D2</v>
      </c>
      <c r="F52" s="53">
        <v>176717.59224409179</v>
      </c>
      <c r="G52" s="53" t="e">
        <f>F52*(1+#REF!)</f>
        <v>#REF!</v>
      </c>
      <c r="H52" s="53" t="e">
        <f>G52*(1+#REF!)</f>
        <v>#REF!</v>
      </c>
      <c r="I52" s="53" t="e">
        <f>H52*(1+#REF!)</f>
        <v>#REF!</v>
      </c>
      <c r="J52" s="53" t="e">
        <f>I52*(1+#REF!)</f>
        <v>#REF!</v>
      </c>
      <c r="K52" s="53" t="e">
        <f>J52*(1+#REF!)</f>
        <v>#REF!</v>
      </c>
      <c r="L52" s="53" t="e">
        <f>K52*(1+#REF!)</f>
        <v>#REF!</v>
      </c>
      <c r="M52" s="53" t="e">
        <f>L52*(1+#REF!)</f>
        <v>#REF!</v>
      </c>
      <c r="N52" s="53" t="e">
        <f>M52*(1+#REF!)</f>
        <v>#REF!</v>
      </c>
      <c r="O52" s="53" t="e">
        <f>N52*(1+#REF!)</f>
        <v>#REF!</v>
      </c>
      <c r="P52" s="53" t="e">
        <f>O52*(1+#REF!)</f>
        <v>#REF!</v>
      </c>
      <c r="Q52" s="53" t="e">
        <f>P52*(1+#REF!)</f>
        <v>#REF!</v>
      </c>
      <c r="R52" s="53" t="e">
        <f>Q52*(1+#REF!)</f>
        <v>#REF!</v>
      </c>
    </row>
    <row r="53" spans="2:18" ht="15" customHeight="1">
      <c r="B53" s="56" t="s">
        <v>228</v>
      </c>
      <c r="C53" s="56">
        <v>3</v>
      </c>
      <c r="D53" t="str">
        <f t="shared" si="1"/>
        <v>Level D3</v>
      </c>
      <c r="F53" s="53">
        <v>182510.03006261878</v>
      </c>
      <c r="G53" s="53" t="e">
        <f>F53*(1+#REF!)</f>
        <v>#REF!</v>
      </c>
      <c r="H53" s="53" t="e">
        <f>G53*(1+#REF!)</f>
        <v>#REF!</v>
      </c>
      <c r="I53" s="53" t="e">
        <f>H53*(1+#REF!)</f>
        <v>#REF!</v>
      </c>
      <c r="J53" s="53" t="e">
        <f>I53*(1+#REF!)</f>
        <v>#REF!</v>
      </c>
      <c r="K53" s="53" t="e">
        <f>J53*(1+#REF!)</f>
        <v>#REF!</v>
      </c>
      <c r="L53" s="53" t="e">
        <f>K53*(1+#REF!)</f>
        <v>#REF!</v>
      </c>
      <c r="M53" s="53" t="e">
        <f>L53*(1+#REF!)</f>
        <v>#REF!</v>
      </c>
      <c r="N53" s="53" t="e">
        <f>M53*(1+#REF!)</f>
        <v>#REF!</v>
      </c>
      <c r="O53" s="53" t="e">
        <f>N53*(1+#REF!)</f>
        <v>#REF!</v>
      </c>
      <c r="P53" s="53" t="e">
        <f>O53*(1+#REF!)</f>
        <v>#REF!</v>
      </c>
      <c r="Q53" s="53" t="e">
        <f>P53*(1+#REF!)</f>
        <v>#REF!</v>
      </c>
      <c r="R53" s="53" t="e">
        <f>Q53*(1+#REF!)</f>
        <v>#REF!</v>
      </c>
    </row>
    <row r="54" spans="2:18" ht="15" customHeight="1">
      <c r="B54" s="56" t="s">
        <v>228</v>
      </c>
      <c r="C54" s="56">
        <v>4</v>
      </c>
      <c r="D54" t="str">
        <f t="shared" si="1"/>
        <v>Level D4</v>
      </c>
      <c r="F54" s="53">
        <v>188304.89732013998</v>
      </c>
      <c r="G54" s="53" t="e">
        <f>F54*(1+#REF!)</f>
        <v>#REF!</v>
      </c>
      <c r="H54" s="53" t="e">
        <f>G54*(1+#REF!)</f>
        <v>#REF!</v>
      </c>
      <c r="I54" s="53" t="e">
        <f>H54*(1+#REF!)</f>
        <v>#REF!</v>
      </c>
      <c r="J54" s="53" t="e">
        <f>I54*(1+#REF!)</f>
        <v>#REF!</v>
      </c>
      <c r="K54" s="53" t="e">
        <f>J54*(1+#REF!)</f>
        <v>#REF!</v>
      </c>
      <c r="L54" s="53" t="e">
        <f>K54*(1+#REF!)</f>
        <v>#REF!</v>
      </c>
      <c r="M54" s="53" t="e">
        <f>L54*(1+#REF!)</f>
        <v>#REF!</v>
      </c>
      <c r="N54" s="53" t="e">
        <f>M54*(1+#REF!)</f>
        <v>#REF!</v>
      </c>
      <c r="O54" s="53" t="e">
        <f>N54*(1+#REF!)</f>
        <v>#REF!</v>
      </c>
      <c r="P54" s="53" t="e">
        <f>O54*(1+#REF!)</f>
        <v>#REF!</v>
      </c>
      <c r="Q54" s="53" t="e">
        <f>P54*(1+#REF!)</f>
        <v>#REF!</v>
      </c>
      <c r="R54" s="53" t="e">
        <f>Q54*(1+#REF!)</f>
        <v>#REF!</v>
      </c>
    </row>
    <row r="55" spans="2:18" ht="15" customHeight="1">
      <c r="B55" s="56" t="s">
        <v>219</v>
      </c>
      <c r="C55" s="56">
        <v>1</v>
      </c>
      <c r="D55" t="str">
        <f t="shared" si="1"/>
        <v>Level E1</v>
      </c>
      <c r="F55" s="53">
        <v>220172.96131293557</v>
      </c>
      <c r="G55" s="53" t="e">
        <f>F55*(1+#REF!)</f>
        <v>#REF!</v>
      </c>
      <c r="H55" s="53" t="e">
        <f>G55*(1+#REF!)</f>
        <v>#REF!</v>
      </c>
      <c r="I55" s="53" t="e">
        <f>H55*(1+#REF!)</f>
        <v>#REF!</v>
      </c>
      <c r="J55" s="53" t="e">
        <f>I55*(1+#REF!)</f>
        <v>#REF!</v>
      </c>
      <c r="K55" s="53" t="e">
        <f>J55*(1+#REF!)</f>
        <v>#REF!</v>
      </c>
      <c r="L55" s="53" t="e">
        <f>K55*(1+#REF!)</f>
        <v>#REF!</v>
      </c>
      <c r="M55" s="53" t="e">
        <f>L55*(1+#REF!)</f>
        <v>#REF!</v>
      </c>
      <c r="N55" s="53" t="e">
        <f>M55*(1+#REF!)</f>
        <v>#REF!</v>
      </c>
      <c r="O55" s="53" t="e">
        <f>N55*(1+#REF!)</f>
        <v>#REF!</v>
      </c>
      <c r="P55" s="53" t="e">
        <f>O55*(1+#REF!)</f>
        <v>#REF!</v>
      </c>
      <c r="Q55" s="53" t="e">
        <f>P55*(1+#REF!)</f>
        <v>#REF!</v>
      </c>
      <c r="R55" s="53" t="e">
        <f>Q55*(1+#REF!)</f>
        <v>#REF!</v>
      </c>
    </row>
    <row r="56" spans="2:18" ht="15" customHeight="1">
      <c r="D56" t="str">
        <f t="shared" si="1"/>
        <v/>
      </c>
    </row>
    <row r="57" spans="2:18" ht="15" customHeight="1">
      <c r="D57" t="s">
        <v>315</v>
      </c>
      <c r="F57" s="55">
        <f>52.48*1.1601</f>
        <v>60.88204799999999</v>
      </c>
      <c r="G57" s="55" t="e">
        <f>F57*(1+$J$27)</f>
        <v>#REF!</v>
      </c>
      <c r="H57" s="55" t="e">
        <f t="shared" ref="H57:R57" si="2">G57*(1+$J$27)</f>
        <v>#REF!</v>
      </c>
      <c r="I57" s="55" t="e">
        <f t="shared" si="2"/>
        <v>#REF!</v>
      </c>
      <c r="J57" s="55" t="e">
        <f t="shared" si="2"/>
        <v>#REF!</v>
      </c>
      <c r="K57" s="55" t="e">
        <f t="shared" si="2"/>
        <v>#REF!</v>
      </c>
      <c r="L57" s="55" t="e">
        <f t="shared" si="2"/>
        <v>#REF!</v>
      </c>
      <c r="M57" s="55" t="e">
        <f t="shared" si="2"/>
        <v>#REF!</v>
      </c>
      <c r="N57" s="55" t="e">
        <f t="shared" si="2"/>
        <v>#REF!</v>
      </c>
      <c r="O57" s="55" t="e">
        <f t="shared" si="2"/>
        <v>#REF!</v>
      </c>
      <c r="P57" s="55" t="e">
        <f t="shared" si="2"/>
        <v>#REF!</v>
      </c>
      <c r="Q57" s="55" t="e">
        <f t="shared" si="2"/>
        <v>#REF!</v>
      </c>
      <c r="R57" s="55" t="e">
        <f t="shared" si="2"/>
        <v>#REF!</v>
      </c>
    </row>
    <row r="58" spans="2:18" ht="15" customHeight="1">
      <c r="D58" t="str">
        <f t="shared" si="1"/>
        <v/>
      </c>
      <c r="F58" s="55"/>
      <c r="I58" t="str">
        <f>IFERROR(INDEX(F:F,MATCH(H58,D:D,0)),"")</f>
        <v/>
      </c>
    </row>
    <row r="59" spans="2:18" ht="15" customHeight="1">
      <c r="D59" t="str">
        <f t="shared" si="1"/>
        <v/>
      </c>
      <c r="F59" s="7">
        <v>2018</v>
      </c>
      <c r="G59" s="7">
        <v>2019</v>
      </c>
      <c r="H59" s="7">
        <v>2020</v>
      </c>
      <c r="I59" s="7">
        <v>2021</v>
      </c>
      <c r="J59" s="7">
        <v>2022</v>
      </c>
      <c r="K59" s="7">
        <v>2023</v>
      </c>
      <c r="L59" s="7">
        <v>2024</v>
      </c>
      <c r="M59" s="7">
        <v>2025</v>
      </c>
      <c r="N59" s="7">
        <v>2026</v>
      </c>
      <c r="O59" s="7">
        <v>2027</v>
      </c>
      <c r="P59" s="7">
        <v>2028</v>
      </c>
      <c r="Q59" s="7">
        <v>2029</v>
      </c>
      <c r="R59" s="7">
        <v>2030</v>
      </c>
    </row>
    <row r="60" spans="2:18" ht="15" customHeight="1">
      <c r="B60" s="57" t="s">
        <v>221</v>
      </c>
      <c r="C60" s="57">
        <v>1</v>
      </c>
      <c r="D60" t="str">
        <f>B60&amp;C60</f>
        <v>HEW 31</v>
      </c>
      <c r="E60" s="55"/>
      <c r="F60" s="55">
        <v>65824.951743177997</v>
      </c>
      <c r="G60" s="53" t="e">
        <f>F60*(1+#REF!)</f>
        <v>#REF!</v>
      </c>
      <c r="H60" s="53" t="e">
        <f>G60*(1+#REF!)</f>
        <v>#REF!</v>
      </c>
      <c r="I60" s="53" t="e">
        <f>H60*(1+#REF!)</f>
        <v>#REF!</v>
      </c>
      <c r="J60" s="53" t="e">
        <f>I60*(1+#REF!)</f>
        <v>#REF!</v>
      </c>
      <c r="K60" s="53" t="e">
        <f>J60*(1+#REF!)</f>
        <v>#REF!</v>
      </c>
      <c r="L60" s="53" t="e">
        <f>K60*(1+#REF!)</f>
        <v>#REF!</v>
      </c>
      <c r="M60" s="53" t="e">
        <f>L60*(1+#REF!)</f>
        <v>#REF!</v>
      </c>
      <c r="N60" s="53" t="e">
        <f>M60*(1+#REF!)</f>
        <v>#REF!</v>
      </c>
      <c r="O60" s="53" t="e">
        <f>N60*(1+#REF!)</f>
        <v>#REF!</v>
      </c>
      <c r="P60" s="53" t="e">
        <f>O60*(1+#REF!)</f>
        <v>#REF!</v>
      </c>
      <c r="Q60" s="53" t="e">
        <f>P60*(1+#REF!)</f>
        <v>#REF!</v>
      </c>
      <c r="R60" s="53" t="e">
        <f>Q60*(1+#REF!)</f>
        <v>#REF!</v>
      </c>
    </row>
    <row r="61" spans="2:18" ht="15" customHeight="1">
      <c r="B61" s="57" t="s">
        <v>221</v>
      </c>
      <c r="C61" s="57">
        <v>2</v>
      </c>
      <c r="D61" t="str">
        <f t="shared" ref="D61:D82" si="3">B61&amp;C61</f>
        <v>HEW 32</v>
      </c>
      <c r="E61" s="55"/>
      <c r="F61" s="55">
        <v>67578.845745405997</v>
      </c>
      <c r="G61" s="53" t="e">
        <f>F61*(1+#REF!)</f>
        <v>#REF!</v>
      </c>
      <c r="H61" s="53" t="e">
        <f>G61*(1+#REF!)</f>
        <v>#REF!</v>
      </c>
      <c r="I61" s="53" t="e">
        <f>H61*(1+#REF!)</f>
        <v>#REF!</v>
      </c>
      <c r="J61" s="53" t="e">
        <f>I61*(1+#REF!)</f>
        <v>#REF!</v>
      </c>
      <c r="K61" s="53" t="e">
        <f>J61*(1+#REF!)</f>
        <v>#REF!</v>
      </c>
      <c r="L61" s="53" t="e">
        <f>K61*(1+#REF!)</f>
        <v>#REF!</v>
      </c>
      <c r="M61" s="53" t="e">
        <f>L61*(1+#REF!)</f>
        <v>#REF!</v>
      </c>
      <c r="N61" s="53" t="e">
        <f>M61*(1+#REF!)</f>
        <v>#REF!</v>
      </c>
      <c r="O61" s="53" t="e">
        <f>N61*(1+#REF!)</f>
        <v>#REF!</v>
      </c>
      <c r="P61" s="53" t="e">
        <f>O61*(1+#REF!)</f>
        <v>#REF!</v>
      </c>
      <c r="Q61" s="53" t="e">
        <f>P61*(1+#REF!)</f>
        <v>#REF!</v>
      </c>
      <c r="R61" s="53" t="e">
        <f>Q61*(1+#REF!)</f>
        <v>#REF!</v>
      </c>
    </row>
    <row r="62" spans="2:18" ht="15" customHeight="1">
      <c r="B62" s="57" t="s">
        <v>221</v>
      </c>
      <c r="C62" s="57">
        <v>3</v>
      </c>
      <c r="D62" t="str">
        <f t="shared" si="3"/>
        <v>HEW 33</v>
      </c>
      <c r="E62" s="55"/>
      <c r="F62" s="55">
        <v>69335.111871409987</v>
      </c>
      <c r="G62" s="53" t="e">
        <f>F62*(1+#REF!)</f>
        <v>#REF!</v>
      </c>
      <c r="H62" s="53" t="e">
        <f>G62*(1+#REF!)</f>
        <v>#REF!</v>
      </c>
      <c r="I62" s="53" t="e">
        <f>H62*(1+#REF!)</f>
        <v>#REF!</v>
      </c>
      <c r="J62" s="53" t="e">
        <f>I62*(1+#REF!)</f>
        <v>#REF!</v>
      </c>
      <c r="K62" s="53" t="e">
        <f>J62*(1+#REF!)</f>
        <v>#REF!</v>
      </c>
      <c r="L62" s="53" t="e">
        <f>K62*(1+#REF!)</f>
        <v>#REF!</v>
      </c>
      <c r="M62" s="53" t="e">
        <f>L62*(1+#REF!)</f>
        <v>#REF!</v>
      </c>
      <c r="N62" s="53" t="e">
        <f>M62*(1+#REF!)</f>
        <v>#REF!</v>
      </c>
      <c r="O62" s="53" t="e">
        <f>N62*(1+#REF!)</f>
        <v>#REF!</v>
      </c>
      <c r="P62" s="53" t="e">
        <f>O62*(1+#REF!)</f>
        <v>#REF!</v>
      </c>
      <c r="Q62" s="53" t="e">
        <f>P62*(1+#REF!)</f>
        <v>#REF!</v>
      </c>
      <c r="R62" s="53" t="e">
        <f>Q62*(1+#REF!)</f>
        <v>#REF!</v>
      </c>
    </row>
    <row r="63" spans="2:18" ht="15" customHeight="1">
      <c r="B63" s="57" t="s">
        <v>221</v>
      </c>
      <c r="C63" s="57">
        <v>4</v>
      </c>
      <c r="D63" t="str">
        <f t="shared" si="3"/>
        <v>HEW 34</v>
      </c>
      <c r="E63" s="55"/>
      <c r="F63" s="55">
        <v>71107.982776164004</v>
      </c>
      <c r="G63" s="53" t="e">
        <f>F63*(1+#REF!)</f>
        <v>#REF!</v>
      </c>
      <c r="H63" s="53" t="e">
        <f>G63*(1+#REF!)</f>
        <v>#REF!</v>
      </c>
      <c r="I63" s="53" t="e">
        <f>H63*(1+#REF!)</f>
        <v>#REF!</v>
      </c>
      <c r="J63" s="53" t="e">
        <f>I63*(1+#REF!)</f>
        <v>#REF!</v>
      </c>
      <c r="K63" s="53" t="e">
        <f>J63*(1+#REF!)</f>
        <v>#REF!</v>
      </c>
      <c r="L63" s="53" t="e">
        <f>K63*(1+#REF!)</f>
        <v>#REF!</v>
      </c>
      <c r="M63" s="53" t="e">
        <f>L63*(1+#REF!)</f>
        <v>#REF!</v>
      </c>
      <c r="N63" s="53" t="e">
        <f>M63*(1+#REF!)</f>
        <v>#REF!</v>
      </c>
      <c r="O63" s="53" t="e">
        <f>N63*(1+#REF!)</f>
        <v>#REF!</v>
      </c>
      <c r="P63" s="53" t="e">
        <f>O63*(1+#REF!)</f>
        <v>#REF!</v>
      </c>
      <c r="Q63" s="53" t="e">
        <f>P63*(1+#REF!)</f>
        <v>#REF!</v>
      </c>
      <c r="R63" s="53" t="e">
        <f>Q63*(1+#REF!)</f>
        <v>#REF!</v>
      </c>
    </row>
    <row r="64" spans="2:18" ht="15" customHeight="1">
      <c r="B64" s="57" t="s">
        <v>221</v>
      </c>
      <c r="C64" s="57">
        <v>5</v>
      </c>
      <c r="D64" t="str">
        <f t="shared" si="3"/>
        <v>HEW 35</v>
      </c>
      <c r="E64" s="55"/>
      <c r="F64" s="55">
        <v>72970.910009269995</v>
      </c>
      <c r="G64" s="53" t="e">
        <f>F64*(1+#REF!)</f>
        <v>#REF!</v>
      </c>
      <c r="H64" s="53" t="e">
        <f>G64*(1+#REF!)</f>
        <v>#REF!</v>
      </c>
      <c r="I64" s="53" t="e">
        <f>H64*(1+#REF!)</f>
        <v>#REF!</v>
      </c>
      <c r="J64" s="53" t="e">
        <f>I64*(1+#REF!)</f>
        <v>#REF!</v>
      </c>
      <c r="K64" s="53" t="e">
        <f>J64*(1+#REF!)</f>
        <v>#REF!</v>
      </c>
      <c r="L64" s="53" t="e">
        <f>K64*(1+#REF!)</f>
        <v>#REF!</v>
      </c>
      <c r="M64" s="53" t="e">
        <f>L64*(1+#REF!)</f>
        <v>#REF!</v>
      </c>
      <c r="N64" s="53" t="e">
        <f>M64*(1+#REF!)</f>
        <v>#REF!</v>
      </c>
      <c r="O64" s="53" t="e">
        <f>N64*(1+#REF!)</f>
        <v>#REF!</v>
      </c>
      <c r="P64" s="53" t="e">
        <f>O64*(1+#REF!)</f>
        <v>#REF!</v>
      </c>
      <c r="Q64" s="53" t="e">
        <f>P64*(1+#REF!)</f>
        <v>#REF!</v>
      </c>
      <c r="R64" s="53" t="e">
        <f>Q64*(1+#REF!)</f>
        <v>#REF!</v>
      </c>
    </row>
    <row r="65" spans="2:18" ht="15.75" customHeight="1">
      <c r="B65" s="57" t="s">
        <v>230</v>
      </c>
      <c r="C65" s="57">
        <v>1</v>
      </c>
      <c r="D65" t="str">
        <f t="shared" si="3"/>
        <v>HEW 41</v>
      </c>
      <c r="E65" s="55"/>
      <c r="F65" s="55">
        <v>74890.725962801997</v>
      </c>
      <c r="G65" s="53" t="e">
        <f>F65*(1+#REF!)</f>
        <v>#REF!</v>
      </c>
      <c r="H65" s="53" t="e">
        <f>G65*(1+#REF!)</f>
        <v>#REF!</v>
      </c>
      <c r="I65" s="53" t="e">
        <f>H65*(1+#REF!)</f>
        <v>#REF!</v>
      </c>
      <c r="J65" s="53" t="e">
        <f>I65*(1+#REF!)</f>
        <v>#REF!</v>
      </c>
      <c r="K65" s="53" t="e">
        <f>J65*(1+#REF!)</f>
        <v>#REF!</v>
      </c>
      <c r="L65" s="53" t="e">
        <f>K65*(1+#REF!)</f>
        <v>#REF!</v>
      </c>
      <c r="M65" s="53" t="e">
        <f>L65*(1+#REF!)</f>
        <v>#REF!</v>
      </c>
      <c r="N65" s="53" t="e">
        <f>M65*(1+#REF!)</f>
        <v>#REF!</v>
      </c>
      <c r="O65" s="53" t="e">
        <f>N65*(1+#REF!)</f>
        <v>#REF!</v>
      </c>
      <c r="P65" s="53" t="e">
        <f>O65*(1+#REF!)</f>
        <v>#REF!</v>
      </c>
      <c r="Q65" s="53" t="e">
        <f>P65*(1+#REF!)</f>
        <v>#REF!</v>
      </c>
      <c r="R65" s="53" t="e">
        <f>Q65*(1+#REF!)</f>
        <v>#REF!</v>
      </c>
    </row>
    <row r="66" spans="2:18">
      <c r="B66" s="57" t="s">
        <v>230</v>
      </c>
      <c r="C66" s="57">
        <v>2</v>
      </c>
      <c r="D66" t="str">
        <f t="shared" si="3"/>
        <v>HEW 42</v>
      </c>
      <c r="E66" s="55"/>
      <c r="F66" s="55">
        <v>77009.631450511995</v>
      </c>
      <c r="G66" s="53" t="e">
        <f>F66*(1+#REF!)</f>
        <v>#REF!</v>
      </c>
      <c r="H66" s="53" t="e">
        <f>G66*(1+#REF!)</f>
        <v>#REF!</v>
      </c>
      <c r="I66" s="53" t="e">
        <f>H66*(1+#REF!)</f>
        <v>#REF!</v>
      </c>
      <c r="J66" s="53" t="e">
        <f>I66*(1+#REF!)</f>
        <v>#REF!</v>
      </c>
      <c r="K66" s="53" t="e">
        <f>J66*(1+#REF!)</f>
        <v>#REF!</v>
      </c>
      <c r="L66" s="53" t="e">
        <f>K66*(1+#REF!)</f>
        <v>#REF!</v>
      </c>
      <c r="M66" s="53" t="e">
        <f>L66*(1+#REF!)</f>
        <v>#REF!</v>
      </c>
      <c r="N66" s="53" t="e">
        <f>M66*(1+#REF!)</f>
        <v>#REF!</v>
      </c>
      <c r="O66" s="53" t="e">
        <f>N66*(1+#REF!)</f>
        <v>#REF!</v>
      </c>
      <c r="P66" s="53" t="e">
        <f>O66*(1+#REF!)</f>
        <v>#REF!</v>
      </c>
      <c r="Q66" s="53" t="e">
        <f>P66*(1+#REF!)</f>
        <v>#REF!</v>
      </c>
      <c r="R66" s="53" t="e">
        <f>Q66*(1+#REF!)</f>
        <v>#REF!</v>
      </c>
    </row>
    <row r="67" spans="2:18" ht="15" customHeight="1">
      <c r="B67" s="57" t="s">
        <v>230</v>
      </c>
      <c r="C67" s="57">
        <v>3</v>
      </c>
      <c r="D67" t="str">
        <f t="shared" si="3"/>
        <v>HEW 43</v>
      </c>
      <c r="E67" s="55"/>
      <c r="F67" s="55">
        <v>79126.164826971988</v>
      </c>
      <c r="G67" s="53" t="e">
        <f>F67*(1+#REF!)</f>
        <v>#REF!</v>
      </c>
      <c r="H67" s="53" t="e">
        <f>G67*(1+#REF!)</f>
        <v>#REF!</v>
      </c>
      <c r="I67" s="53" t="e">
        <f>H67*(1+#REF!)</f>
        <v>#REF!</v>
      </c>
      <c r="J67" s="53" t="e">
        <f>I67*(1+#REF!)</f>
        <v>#REF!</v>
      </c>
      <c r="K67" s="53" t="e">
        <f>J67*(1+#REF!)</f>
        <v>#REF!</v>
      </c>
      <c r="L67" s="53" t="e">
        <f>K67*(1+#REF!)</f>
        <v>#REF!</v>
      </c>
      <c r="M67" s="53" t="e">
        <f>L67*(1+#REF!)</f>
        <v>#REF!</v>
      </c>
      <c r="N67" s="53" t="e">
        <f>M67*(1+#REF!)</f>
        <v>#REF!</v>
      </c>
      <c r="O67" s="53" t="e">
        <f>N67*(1+#REF!)</f>
        <v>#REF!</v>
      </c>
      <c r="P67" s="53" t="e">
        <f>O67*(1+#REF!)</f>
        <v>#REF!</v>
      </c>
      <c r="Q67" s="53" t="e">
        <f>P67*(1+#REF!)</f>
        <v>#REF!</v>
      </c>
      <c r="R67" s="53" t="e">
        <f>Q67*(1+#REF!)</f>
        <v>#REF!</v>
      </c>
    </row>
    <row r="68" spans="2:18">
      <c r="B68" s="57" t="s">
        <v>239</v>
      </c>
      <c r="C68" s="57">
        <v>1</v>
      </c>
      <c r="D68" t="str">
        <f t="shared" si="3"/>
        <v>HEW 51</v>
      </c>
      <c r="E68" s="55"/>
      <c r="F68" s="55">
        <v>81240.347073231998</v>
      </c>
      <c r="G68" s="53" t="e">
        <f>F68*(1+#REF!)</f>
        <v>#REF!</v>
      </c>
      <c r="H68" s="53" t="e">
        <f>G68*(1+#REF!)</f>
        <v>#REF!</v>
      </c>
      <c r="I68" s="53" t="e">
        <f>H68*(1+#REF!)</f>
        <v>#REF!</v>
      </c>
      <c r="J68" s="53" t="e">
        <f>I68*(1+#REF!)</f>
        <v>#REF!</v>
      </c>
      <c r="K68" s="53" t="e">
        <f>J68*(1+#REF!)</f>
        <v>#REF!</v>
      </c>
      <c r="L68" s="53" t="e">
        <f>K68*(1+#REF!)</f>
        <v>#REF!</v>
      </c>
      <c r="M68" s="53" t="e">
        <f>L68*(1+#REF!)</f>
        <v>#REF!</v>
      </c>
      <c r="N68" s="53" t="e">
        <f>M68*(1+#REF!)</f>
        <v>#REF!</v>
      </c>
      <c r="O68" s="53" t="e">
        <f>N68*(1+#REF!)</f>
        <v>#REF!</v>
      </c>
      <c r="P68" s="53" t="e">
        <f>O68*(1+#REF!)</f>
        <v>#REF!</v>
      </c>
      <c r="Q68" s="53" t="e">
        <f>P68*(1+#REF!)</f>
        <v>#REF!</v>
      </c>
      <c r="R68" s="53" t="e">
        <f>Q68*(1+#REF!)</f>
        <v>#REF!</v>
      </c>
    </row>
    <row r="69" spans="2:18" ht="15" customHeight="1">
      <c r="B69" s="57" t="s">
        <v>239</v>
      </c>
      <c r="C69" s="57">
        <v>2</v>
      </c>
      <c r="D69" t="str">
        <f t="shared" si="3"/>
        <v>HEW 52</v>
      </c>
      <c r="E69" s="55"/>
      <c r="F69" s="55">
        <v>83766.899093247994</v>
      </c>
      <c r="G69" s="53" t="e">
        <f>F69*(1+#REF!)</f>
        <v>#REF!</v>
      </c>
      <c r="H69" s="53" t="e">
        <f>G69*(1+#REF!)</f>
        <v>#REF!</v>
      </c>
      <c r="I69" s="53" t="e">
        <f>H69*(1+#REF!)</f>
        <v>#REF!</v>
      </c>
      <c r="J69" s="53" t="e">
        <f>I69*(1+#REF!)</f>
        <v>#REF!</v>
      </c>
      <c r="K69" s="53" t="e">
        <f>J69*(1+#REF!)</f>
        <v>#REF!</v>
      </c>
      <c r="L69" s="53" t="e">
        <f>K69*(1+#REF!)</f>
        <v>#REF!</v>
      </c>
      <c r="M69" s="53" t="e">
        <f>L69*(1+#REF!)</f>
        <v>#REF!</v>
      </c>
      <c r="N69" s="53" t="e">
        <f>M69*(1+#REF!)</f>
        <v>#REF!</v>
      </c>
      <c r="O69" s="53" t="e">
        <f>N69*(1+#REF!)</f>
        <v>#REF!</v>
      </c>
      <c r="P69" s="53" t="e">
        <f>O69*(1+#REF!)</f>
        <v>#REF!</v>
      </c>
      <c r="Q69" s="53" t="e">
        <f>P69*(1+#REF!)</f>
        <v>#REF!</v>
      </c>
      <c r="R69" s="53" t="e">
        <f>Q69*(1+#REF!)</f>
        <v>#REF!</v>
      </c>
    </row>
    <row r="70" spans="2:18" ht="15" customHeight="1">
      <c r="B70" s="57" t="s">
        <v>239</v>
      </c>
      <c r="C70" s="57">
        <v>3</v>
      </c>
      <c r="D70" t="str">
        <f t="shared" si="3"/>
        <v>HEW 53</v>
      </c>
      <c r="E70" s="55"/>
      <c r="F70" s="55">
        <v>86302.960551839991</v>
      </c>
      <c r="G70" s="53" t="e">
        <f>F70*(1+#REF!)</f>
        <v>#REF!</v>
      </c>
      <c r="H70" s="53" t="e">
        <f>G70*(1+#REF!)</f>
        <v>#REF!</v>
      </c>
      <c r="I70" s="53" t="e">
        <f>H70*(1+#REF!)</f>
        <v>#REF!</v>
      </c>
      <c r="J70" s="53" t="e">
        <f>I70*(1+#REF!)</f>
        <v>#REF!</v>
      </c>
      <c r="K70" s="53" t="e">
        <f>J70*(1+#REF!)</f>
        <v>#REF!</v>
      </c>
      <c r="L70" s="53" t="e">
        <f>K70*(1+#REF!)</f>
        <v>#REF!</v>
      </c>
      <c r="M70" s="53" t="e">
        <f>L70*(1+#REF!)</f>
        <v>#REF!</v>
      </c>
      <c r="N70" s="53" t="e">
        <f>M70*(1+#REF!)</f>
        <v>#REF!</v>
      </c>
      <c r="O70" s="53" t="e">
        <f>N70*(1+#REF!)</f>
        <v>#REF!</v>
      </c>
      <c r="P70" s="53" t="e">
        <f>O70*(1+#REF!)</f>
        <v>#REF!</v>
      </c>
      <c r="Q70" s="53" t="e">
        <f>P70*(1+#REF!)</f>
        <v>#REF!</v>
      </c>
      <c r="R70" s="53" t="e">
        <f>Q70*(1+#REF!)</f>
        <v>#REF!</v>
      </c>
    </row>
    <row r="71" spans="2:18" ht="15" customHeight="1">
      <c r="B71" s="57" t="s">
        <v>239</v>
      </c>
      <c r="C71" s="57">
        <v>4</v>
      </c>
      <c r="D71" t="str">
        <f t="shared" si="3"/>
        <v>HEW 54</v>
      </c>
      <c r="E71" s="55"/>
      <c r="F71" s="55">
        <v>88846.117363131998</v>
      </c>
      <c r="G71" s="53" t="e">
        <f>F71*(1+#REF!)</f>
        <v>#REF!</v>
      </c>
      <c r="H71" s="53" t="e">
        <f>G71*(1+#REF!)</f>
        <v>#REF!</v>
      </c>
      <c r="I71" s="53" t="e">
        <f>H71*(1+#REF!)</f>
        <v>#REF!</v>
      </c>
      <c r="J71" s="53" t="e">
        <f>I71*(1+#REF!)</f>
        <v>#REF!</v>
      </c>
      <c r="K71" s="53" t="e">
        <f>J71*(1+#REF!)</f>
        <v>#REF!</v>
      </c>
      <c r="L71" s="53" t="e">
        <f>K71*(1+#REF!)</f>
        <v>#REF!</v>
      </c>
      <c r="M71" s="53" t="e">
        <f>L71*(1+#REF!)</f>
        <v>#REF!</v>
      </c>
      <c r="N71" s="53" t="e">
        <f>M71*(1+#REF!)</f>
        <v>#REF!</v>
      </c>
      <c r="O71" s="53" t="e">
        <f>N71*(1+#REF!)</f>
        <v>#REF!</v>
      </c>
      <c r="P71" s="53" t="e">
        <f>O71*(1+#REF!)</f>
        <v>#REF!</v>
      </c>
      <c r="Q71" s="53" t="e">
        <f>P71*(1+#REF!)</f>
        <v>#REF!</v>
      </c>
      <c r="R71" s="53" t="e">
        <f>Q71*(1+#REF!)</f>
        <v>#REF!</v>
      </c>
    </row>
    <row r="72" spans="2:18" ht="15" customHeight="1" thickBot="1">
      <c r="B72" s="57" t="s">
        <v>239</v>
      </c>
      <c r="C72" s="58">
        <v>5</v>
      </c>
      <c r="D72" t="str">
        <f t="shared" si="3"/>
        <v>HEW 55</v>
      </c>
      <c r="E72" s="55"/>
      <c r="F72" s="55">
        <v>91377.434599223998</v>
      </c>
      <c r="G72" s="53" t="e">
        <f>F72*(1+#REF!)</f>
        <v>#REF!</v>
      </c>
      <c r="H72" s="53" t="e">
        <f>G72*(1+#REF!)</f>
        <v>#REF!</v>
      </c>
      <c r="I72" s="53" t="e">
        <f>H72*(1+#REF!)</f>
        <v>#REF!</v>
      </c>
      <c r="J72" s="53" t="e">
        <f>I72*(1+#REF!)</f>
        <v>#REF!</v>
      </c>
      <c r="K72" s="53" t="e">
        <f>J72*(1+#REF!)</f>
        <v>#REF!</v>
      </c>
      <c r="L72" s="53" t="e">
        <f>K72*(1+#REF!)</f>
        <v>#REF!</v>
      </c>
      <c r="M72" s="53" t="e">
        <f>L72*(1+#REF!)</f>
        <v>#REF!</v>
      </c>
      <c r="N72" s="53" t="e">
        <f>M72*(1+#REF!)</f>
        <v>#REF!</v>
      </c>
      <c r="O72" s="53" t="e">
        <f>N72*(1+#REF!)</f>
        <v>#REF!</v>
      </c>
      <c r="P72" s="53" t="e">
        <f>O72*(1+#REF!)</f>
        <v>#REF!</v>
      </c>
      <c r="Q72" s="53" t="e">
        <f>P72*(1+#REF!)</f>
        <v>#REF!</v>
      </c>
      <c r="R72" s="53" t="e">
        <f>Q72*(1+#REF!)</f>
        <v>#REF!</v>
      </c>
    </row>
    <row r="73" spans="2:18" ht="15" customHeight="1">
      <c r="B73" s="57" t="s">
        <v>246</v>
      </c>
      <c r="C73" s="57">
        <v>1</v>
      </c>
      <c r="D73" t="str">
        <f t="shared" si="3"/>
        <v>HEW 61</v>
      </c>
      <c r="E73" s="55"/>
      <c r="F73" s="55">
        <v>93911.102952989997</v>
      </c>
      <c r="G73" s="53" t="e">
        <f>F73*(1+#REF!)</f>
        <v>#REF!</v>
      </c>
      <c r="H73" s="53" t="e">
        <f>G73*(1+#REF!)</f>
        <v>#REF!</v>
      </c>
      <c r="I73" s="53" t="e">
        <f>H73*(1+#REF!)</f>
        <v>#REF!</v>
      </c>
      <c r="J73" s="53" t="e">
        <f>I73*(1+#REF!)</f>
        <v>#REF!</v>
      </c>
      <c r="K73" s="53" t="e">
        <f>J73*(1+#REF!)</f>
        <v>#REF!</v>
      </c>
      <c r="L73" s="53" t="e">
        <f>K73*(1+#REF!)</f>
        <v>#REF!</v>
      </c>
      <c r="M73" s="53" t="e">
        <f>L73*(1+#REF!)</f>
        <v>#REF!</v>
      </c>
      <c r="N73" s="53" t="e">
        <f>M73*(1+#REF!)</f>
        <v>#REF!</v>
      </c>
      <c r="O73" s="53" t="e">
        <f>N73*(1+#REF!)</f>
        <v>#REF!</v>
      </c>
      <c r="P73" s="53" t="e">
        <f>O73*(1+#REF!)</f>
        <v>#REF!</v>
      </c>
      <c r="Q73" s="53" t="e">
        <f>P73*(1+#REF!)</f>
        <v>#REF!</v>
      </c>
      <c r="R73" s="53" t="e">
        <f>Q73*(1+#REF!)</f>
        <v>#REF!</v>
      </c>
    </row>
    <row r="74" spans="2:18" ht="15" customHeight="1">
      <c r="B74" s="57" t="s">
        <v>246</v>
      </c>
      <c r="C74" s="57">
        <v>2</v>
      </c>
      <c r="D74" t="str">
        <f t="shared" si="3"/>
        <v>HEW 62</v>
      </c>
      <c r="E74" s="55"/>
      <c r="F74" s="55">
        <v>97087.110060617997</v>
      </c>
      <c r="G74" s="53" t="e">
        <f>F74*(1+#REF!)</f>
        <v>#REF!</v>
      </c>
      <c r="H74" s="53" t="e">
        <f>G74*(1+#REF!)</f>
        <v>#REF!</v>
      </c>
      <c r="I74" s="53" t="e">
        <f>H74*(1+#REF!)</f>
        <v>#REF!</v>
      </c>
      <c r="J74" s="53" t="e">
        <f>I74*(1+#REF!)</f>
        <v>#REF!</v>
      </c>
      <c r="K74" s="53" t="e">
        <f>J74*(1+#REF!)</f>
        <v>#REF!</v>
      </c>
      <c r="L74" s="53" t="e">
        <f>K74*(1+#REF!)</f>
        <v>#REF!</v>
      </c>
      <c r="M74" s="53" t="e">
        <f>L74*(1+#REF!)</f>
        <v>#REF!</v>
      </c>
      <c r="N74" s="53" t="e">
        <f>M74*(1+#REF!)</f>
        <v>#REF!</v>
      </c>
      <c r="O74" s="53" t="e">
        <f>N74*(1+#REF!)</f>
        <v>#REF!</v>
      </c>
      <c r="P74" s="53" t="e">
        <f>O74*(1+#REF!)</f>
        <v>#REF!</v>
      </c>
      <c r="Q74" s="53" t="e">
        <f>P74*(1+#REF!)</f>
        <v>#REF!</v>
      </c>
      <c r="R74" s="53" t="e">
        <f>Q74*(1+#REF!)</f>
        <v>#REF!</v>
      </c>
    </row>
    <row r="75" spans="2:18" ht="15" customHeight="1">
      <c r="B75" s="57" t="s">
        <v>246</v>
      </c>
      <c r="C75" s="57">
        <v>3</v>
      </c>
      <c r="D75" t="str">
        <f t="shared" si="3"/>
        <v>HEW 63</v>
      </c>
      <c r="E75" s="55"/>
      <c r="F75" s="55">
        <v>100260.72407594598</v>
      </c>
      <c r="G75" s="53" t="e">
        <f>F75*(1+#REF!)</f>
        <v>#REF!</v>
      </c>
      <c r="H75" s="53" t="e">
        <f>G75*(1+#REF!)</f>
        <v>#REF!</v>
      </c>
      <c r="I75" s="53" t="e">
        <f>H75*(1+#REF!)</f>
        <v>#REF!</v>
      </c>
      <c r="J75" s="53" t="e">
        <f>I75*(1+#REF!)</f>
        <v>#REF!</v>
      </c>
      <c r="K75" s="53" t="e">
        <f>J75*(1+#REF!)</f>
        <v>#REF!</v>
      </c>
      <c r="L75" s="53" t="e">
        <f>K75*(1+#REF!)</f>
        <v>#REF!</v>
      </c>
      <c r="M75" s="53" t="e">
        <f>L75*(1+#REF!)</f>
        <v>#REF!</v>
      </c>
      <c r="N75" s="53" t="e">
        <f>M75*(1+#REF!)</f>
        <v>#REF!</v>
      </c>
      <c r="O75" s="53" t="e">
        <f>N75*(1+#REF!)</f>
        <v>#REF!</v>
      </c>
      <c r="P75" s="53" t="e">
        <f>O75*(1+#REF!)</f>
        <v>#REF!</v>
      </c>
      <c r="Q75" s="53" t="e">
        <f>P75*(1+#REF!)</f>
        <v>#REF!</v>
      </c>
      <c r="R75" s="53" t="e">
        <f>Q75*(1+#REF!)</f>
        <v>#REF!</v>
      </c>
    </row>
    <row r="76" spans="2:18" ht="15" customHeight="1">
      <c r="B76" s="57" t="s">
        <v>254</v>
      </c>
      <c r="C76" s="57">
        <v>1</v>
      </c>
      <c r="D76" t="str">
        <f t="shared" si="3"/>
        <v>HEW 71</v>
      </c>
      <c r="E76" s="55"/>
      <c r="F76" s="55">
        <v>103437.02706021999</v>
      </c>
      <c r="G76" s="53" t="e">
        <f>F76*(1+#REF!)</f>
        <v>#REF!</v>
      </c>
      <c r="H76" s="53" t="e">
        <f>G76*(1+#REF!)</f>
        <v>#REF!</v>
      </c>
      <c r="I76" s="53" t="e">
        <f>H76*(1+#REF!)</f>
        <v>#REF!</v>
      </c>
      <c r="J76" s="53" t="e">
        <f>I76*(1+#REF!)</f>
        <v>#REF!</v>
      </c>
      <c r="K76" s="53" t="e">
        <f>J76*(1+#REF!)</f>
        <v>#REF!</v>
      </c>
      <c r="L76" s="53" t="e">
        <f>K76*(1+#REF!)</f>
        <v>#REF!</v>
      </c>
      <c r="M76" s="53" t="e">
        <f>L76*(1+#REF!)</f>
        <v>#REF!</v>
      </c>
      <c r="N76" s="53" t="e">
        <f>M76*(1+#REF!)</f>
        <v>#REF!</v>
      </c>
      <c r="O76" s="53" t="e">
        <f>N76*(1+#REF!)</f>
        <v>#REF!</v>
      </c>
      <c r="P76" s="53" t="e">
        <f>O76*(1+#REF!)</f>
        <v>#REF!</v>
      </c>
      <c r="Q76" s="53" t="e">
        <f>P76*(1+#REF!)</f>
        <v>#REF!</v>
      </c>
      <c r="R76" s="53" t="e">
        <f>Q76*(1+#REF!)</f>
        <v>#REF!</v>
      </c>
    </row>
    <row r="77" spans="2:18" ht="15.75" customHeight="1">
      <c r="B77" s="57" t="s">
        <v>254</v>
      </c>
      <c r="C77" s="57">
        <v>2</v>
      </c>
      <c r="D77" t="str">
        <f t="shared" si="3"/>
        <v>HEW 72</v>
      </c>
      <c r="E77" s="55"/>
      <c r="F77" s="55">
        <v>107752.33558344998</v>
      </c>
      <c r="G77" s="53" t="e">
        <f>F77*(1+#REF!)</f>
        <v>#REF!</v>
      </c>
      <c r="H77" s="53" t="e">
        <f>G77*(1+#REF!)</f>
        <v>#REF!</v>
      </c>
      <c r="I77" s="53" t="e">
        <f>H77*(1+#REF!)</f>
        <v>#REF!</v>
      </c>
      <c r="J77" s="53" t="e">
        <f>I77*(1+#REF!)</f>
        <v>#REF!</v>
      </c>
      <c r="K77" s="53" t="e">
        <f>J77*(1+#REF!)</f>
        <v>#REF!</v>
      </c>
      <c r="L77" s="53" t="e">
        <f>K77*(1+#REF!)</f>
        <v>#REF!</v>
      </c>
      <c r="M77" s="53" t="e">
        <f>L77*(1+#REF!)</f>
        <v>#REF!</v>
      </c>
      <c r="N77" s="53" t="e">
        <f>M77*(1+#REF!)</f>
        <v>#REF!</v>
      </c>
      <c r="O77" s="53" t="e">
        <f>N77*(1+#REF!)</f>
        <v>#REF!</v>
      </c>
      <c r="P77" s="53" t="e">
        <f>O77*(1+#REF!)</f>
        <v>#REF!</v>
      </c>
      <c r="Q77" s="53" t="e">
        <f>P77*(1+#REF!)</f>
        <v>#REF!</v>
      </c>
      <c r="R77" s="53" t="e">
        <f>Q77*(1+#REF!)</f>
        <v>#REF!</v>
      </c>
    </row>
    <row r="78" spans="2:18" ht="15.75" customHeight="1">
      <c r="B78" s="57" t="s">
        <v>254</v>
      </c>
      <c r="C78" s="57">
        <v>3</v>
      </c>
      <c r="D78" t="str">
        <f t="shared" si="3"/>
        <v>HEW 73</v>
      </c>
      <c r="E78" s="55"/>
      <c r="F78" s="55">
        <v>112062.826406664</v>
      </c>
      <c r="G78" s="53" t="e">
        <f>F78*(1+#REF!)</f>
        <v>#REF!</v>
      </c>
      <c r="H78" s="53" t="e">
        <f>G78*(1+#REF!)</f>
        <v>#REF!</v>
      </c>
      <c r="I78" s="53" t="e">
        <f>H78*(1+#REF!)</f>
        <v>#REF!</v>
      </c>
      <c r="J78" s="53" t="e">
        <f>I78*(1+#REF!)</f>
        <v>#REF!</v>
      </c>
      <c r="K78" s="53" t="e">
        <f>J78*(1+#REF!)</f>
        <v>#REF!</v>
      </c>
      <c r="L78" s="53" t="e">
        <f>K78*(1+#REF!)</f>
        <v>#REF!</v>
      </c>
      <c r="M78" s="53" t="e">
        <f>L78*(1+#REF!)</f>
        <v>#REF!</v>
      </c>
      <c r="N78" s="53" t="e">
        <f>M78*(1+#REF!)</f>
        <v>#REF!</v>
      </c>
      <c r="O78" s="53" t="e">
        <f>N78*(1+#REF!)</f>
        <v>#REF!</v>
      </c>
      <c r="P78" s="53" t="e">
        <f>O78*(1+#REF!)</f>
        <v>#REF!</v>
      </c>
      <c r="Q78" s="53" t="e">
        <f>P78*(1+#REF!)</f>
        <v>#REF!</v>
      </c>
      <c r="R78" s="53" t="e">
        <f>Q78*(1+#REF!)</f>
        <v>#REF!</v>
      </c>
    </row>
    <row r="79" spans="2:18" ht="15" customHeight="1">
      <c r="B79" s="57" t="s">
        <v>260</v>
      </c>
      <c r="C79" s="57">
        <v>1</v>
      </c>
      <c r="D79" t="str">
        <f t="shared" si="3"/>
        <v>HEW 81</v>
      </c>
      <c r="E79" s="55"/>
      <c r="F79" s="55">
        <v>116378.13494241999</v>
      </c>
      <c r="G79" s="53" t="e">
        <f>F79*(1+#REF!)</f>
        <v>#REF!</v>
      </c>
      <c r="H79" s="53" t="e">
        <f>G79*(1+#REF!)</f>
        <v>#REF!</v>
      </c>
      <c r="I79" s="53" t="e">
        <f>H79*(1+#REF!)</f>
        <v>#REF!</v>
      </c>
      <c r="J79" s="53" t="e">
        <f>I79*(1+#REF!)</f>
        <v>#REF!</v>
      </c>
      <c r="K79" s="53" t="e">
        <f>J79*(1+#REF!)</f>
        <v>#REF!</v>
      </c>
      <c r="L79" s="53" t="e">
        <f>K79*(1+#REF!)</f>
        <v>#REF!</v>
      </c>
      <c r="M79" s="53" t="e">
        <f>L79*(1+#REF!)</f>
        <v>#REF!</v>
      </c>
      <c r="N79" s="53" t="e">
        <f>M79*(1+#REF!)</f>
        <v>#REF!</v>
      </c>
      <c r="O79" s="53" t="e">
        <f>N79*(1+#REF!)</f>
        <v>#REF!</v>
      </c>
      <c r="P79" s="53" t="e">
        <f>O79*(1+#REF!)</f>
        <v>#REF!</v>
      </c>
      <c r="Q79" s="53" t="e">
        <f>P79*(1+#REF!)</f>
        <v>#REF!</v>
      </c>
      <c r="R79" s="53" t="e">
        <f>Q79*(1+#REF!)</f>
        <v>#REF!</v>
      </c>
    </row>
    <row r="80" spans="2:18" ht="15" customHeight="1">
      <c r="B80" s="57" t="s">
        <v>260</v>
      </c>
      <c r="C80" s="57">
        <v>2</v>
      </c>
      <c r="D80" t="str">
        <f t="shared" si="3"/>
        <v>HEW 82</v>
      </c>
      <c r="E80" s="55"/>
      <c r="F80" s="55">
        <v>121222.897782252</v>
      </c>
      <c r="G80" s="53" t="e">
        <f>F80*(1+#REF!)</f>
        <v>#REF!</v>
      </c>
      <c r="H80" s="53" t="e">
        <f>G80*(1+#REF!)</f>
        <v>#REF!</v>
      </c>
      <c r="I80" s="53" t="e">
        <f>H80*(1+#REF!)</f>
        <v>#REF!</v>
      </c>
      <c r="J80" s="53" t="e">
        <f>I80*(1+#REF!)</f>
        <v>#REF!</v>
      </c>
      <c r="K80" s="53" t="e">
        <f>J80*(1+#REF!)</f>
        <v>#REF!</v>
      </c>
      <c r="L80" s="53" t="e">
        <f>K80*(1+#REF!)</f>
        <v>#REF!</v>
      </c>
      <c r="M80" s="53" t="e">
        <f>L80*(1+#REF!)</f>
        <v>#REF!</v>
      </c>
      <c r="N80" s="53" t="e">
        <f>M80*(1+#REF!)</f>
        <v>#REF!</v>
      </c>
      <c r="O80" s="53" t="e">
        <f>N80*(1+#REF!)</f>
        <v>#REF!</v>
      </c>
      <c r="P80" s="53" t="e">
        <f>O80*(1+#REF!)</f>
        <v>#REF!</v>
      </c>
      <c r="Q80" s="53" t="e">
        <f>P80*(1+#REF!)</f>
        <v>#REF!</v>
      </c>
      <c r="R80" s="53" t="e">
        <f>Q80*(1+#REF!)</f>
        <v>#REF!</v>
      </c>
    </row>
    <row r="81" spans="2:18" ht="15" customHeight="1">
      <c r="B81" s="57" t="s">
        <v>260</v>
      </c>
      <c r="C81" s="57">
        <v>3</v>
      </c>
      <c r="D81" t="str">
        <f t="shared" si="3"/>
        <v>HEW 83</v>
      </c>
      <c r="E81" s="55"/>
      <c r="F81" s="55">
        <v>126062.821515134</v>
      </c>
      <c r="G81" s="53" t="e">
        <f>F81*(1+#REF!)</f>
        <v>#REF!</v>
      </c>
      <c r="H81" s="53" t="e">
        <f>G81*(1+#REF!)</f>
        <v>#REF!</v>
      </c>
      <c r="I81" s="53" t="e">
        <f>H81*(1+#REF!)</f>
        <v>#REF!</v>
      </c>
      <c r="J81" s="53" t="e">
        <f>I81*(1+#REF!)</f>
        <v>#REF!</v>
      </c>
      <c r="K81" s="53" t="e">
        <f>J81*(1+#REF!)</f>
        <v>#REF!</v>
      </c>
      <c r="L81" s="53" t="e">
        <f>K81*(1+#REF!)</f>
        <v>#REF!</v>
      </c>
      <c r="M81" s="53" t="e">
        <f>L81*(1+#REF!)</f>
        <v>#REF!</v>
      </c>
      <c r="N81" s="53" t="e">
        <f>M81*(1+#REF!)</f>
        <v>#REF!</v>
      </c>
      <c r="O81" s="53" t="e">
        <f>N81*(1+#REF!)</f>
        <v>#REF!</v>
      </c>
      <c r="P81" s="53" t="e">
        <f>O81*(1+#REF!)</f>
        <v>#REF!</v>
      </c>
      <c r="Q81" s="53" t="e">
        <f>P81*(1+#REF!)</f>
        <v>#REF!</v>
      </c>
      <c r="R81" s="53" t="e">
        <f>Q81*(1+#REF!)</f>
        <v>#REF!</v>
      </c>
    </row>
    <row r="82" spans="2:18" ht="15" customHeight="1">
      <c r="B82" s="57" t="s">
        <v>260</v>
      </c>
      <c r="C82" s="57">
        <v>4</v>
      </c>
      <c r="D82" t="str">
        <f t="shared" si="3"/>
        <v>HEW 84</v>
      </c>
      <c r="E82" s="55"/>
      <c r="F82" s="55">
        <v>130922.080268882</v>
      </c>
      <c r="G82" s="53" t="e">
        <f>F82*(1+#REF!)</f>
        <v>#REF!</v>
      </c>
      <c r="H82" s="53" t="e">
        <f>G82*(1+#REF!)</f>
        <v>#REF!</v>
      </c>
      <c r="I82" s="53" t="e">
        <f>H82*(1+#REF!)</f>
        <v>#REF!</v>
      </c>
      <c r="J82" s="53" t="e">
        <f>I82*(1+#REF!)</f>
        <v>#REF!</v>
      </c>
      <c r="K82" s="53" t="e">
        <f>J82*(1+#REF!)</f>
        <v>#REF!</v>
      </c>
      <c r="L82" s="53" t="e">
        <f>K82*(1+#REF!)</f>
        <v>#REF!</v>
      </c>
      <c r="M82" s="53" t="e">
        <f>L82*(1+#REF!)</f>
        <v>#REF!</v>
      </c>
      <c r="N82" s="53" t="e">
        <f>M82*(1+#REF!)</f>
        <v>#REF!</v>
      </c>
      <c r="O82" s="53" t="e">
        <f>N82*(1+#REF!)</f>
        <v>#REF!</v>
      </c>
      <c r="P82" s="53" t="e">
        <f>O82*(1+#REF!)</f>
        <v>#REF!</v>
      </c>
      <c r="Q82" s="53" t="e">
        <f>P82*(1+#REF!)</f>
        <v>#REF!</v>
      </c>
      <c r="R82" s="53" t="e">
        <f>Q82*(1+#REF!)</f>
        <v>#REF!</v>
      </c>
    </row>
    <row r="83" spans="2:18" ht="15" customHeight="1">
      <c r="D83" t="str">
        <f t="shared" si="1"/>
        <v/>
      </c>
      <c r="F83" s="55"/>
      <c r="I83" t="str">
        <f t="shared" ref="I83:I123" si="4">IFERROR(INDEX(F:F,MATCH(H83,D:D,0)),"")</f>
        <v/>
      </c>
    </row>
    <row r="84" spans="2:18">
      <c r="D84" t="str">
        <f t="shared" si="1"/>
        <v/>
      </c>
      <c r="F84" s="55"/>
      <c r="I84" t="str">
        <f t="shared" si="4"/>
        <v/>
      </c>
    </row>
    <row r="85" spans="2:18">
      <c r="D85" t="str">
        <f t="shared" si="1"/>
        <v/>
      </c>
      <c r="F85" s="55"/>
      <c r="I85" t="str">
        <f t="shared" si="4"/>
        <v/>
      </c>
    </row>
    <row r="86" spans="2:18" ht="15" customHeight="1">
      <c r="D86" t="str">
        <f t="shared" si="1"/>
        <v/>
      </c>
      <c r="F86" s="55"/>
      <c r="I86" t="str">
        <f t="shared" si="4"/>
        <v/>
      </c>
    </row>
    <row r="87" spans="2:18" ht="15.75" customHeight="1">
      <c r="D87" t="str">
        <f t="shared" si="1"/>
        <v/>
      </c>
      <c r="E87" t="s">
        <v>316</v>
      </c>
      <c r="F87" s="55"/>
      <c r="I87" t="str">
        <f t="shared" si="4"/>
        <v/>
      </c>
    </row>
    <row r="88" spans="2:18">
      <c r="D88" t="str">
        <f t="shared" si="1"/>
        <v/>
      </c>
      <c r="E88" t="s">
        <v>317</v>
      </c>
      <c r="F88" s="55"/>
      <c r="I88" t="str">
        <f t="shared" si="4"/>
        <v/>
      </c>
    </row>
    <row r="89" spans="2:18">
      <c r="D89" t="str">
        <f t="shared" si="1"/>
        <v/>
      </c>
      <c r="F89" s="55"/>
      <c r="I89" t="str">
        <f t="shared" si="4"/>
        <v/>
      </c>
    </row>
    <row r="90" spans="2:18" ht="26.25" customHeight="1">
      <c r="D90" t="str">
        <f t="shared" si="1"/>
        <v/>
      </c>
      <c r="F90" s="55"/>
      <c r="I90" t="str">
        <f t="shared" si="4"/>
        <v/>
      </c>
    </row>
    <row r="91" spans="2:18">
      <c r="D91" t="str">
        <f t="shared" si="1"/>
        <v/>
      </c>
      <c r="F91" s="55"/>
      <c r="I91" t="str">
        <f t="shared" si="4"/>
        <v/>
      </c>
    </row>
    <row r="92" spans="2:18" ht="15" customHeight="1">
      <c r="D92" t="str">
        <f t="shared" si="1"/>
        <v/>
      </c>
      <c r="F92" s="55"/>
      <c r="I92" t="str">
        <f t="shared" si="4"/>
        <v/>
      </c>
    </row>
    <row r="93" spans="2:18" ht="15" customHeight="1">
      <c r="D93" t="str">
        <f t="shared" si="1"/>
        <v/>
      </c>
      <c r="F93" s="55"/>
      <c r="I93" t="str">
        <f t="shared" si="4"/>
        <v/>
      </c>
    </row>
    <row r="94" spans="2:18" ht="15" customHeight="1">
      <c r="D94" t="str">
        <f t="shared" si="1"/>
        <v/>
      </c>
      <c r="F94" s="55"/>
      <c r="I94" t="str">
        <f t="shared" si="4"/>
        <v/>
      </c>
    </row>
    <row r="95" spans="2:18" ht="15" customHeight="1">
      <c r="D95" t="str">
        <f t="shared" si="1"/>
        <v/>
      </c>
      <c r="F95" s="55"/>
      <c r="I95" t="str">
        <f t="shared" si="4"/>
        <v/>
      </c>
    </row>
    <row r="96" spans="2:18" ht="15" customHeight="1">
      <c r="D96" t="str">
        <f t="shared" ref="D96:D149" si="5">B96&amp;C96</f>
        <v/>
      </c>
      <c r="F96" s="55"/>
      <c r="I96" t="str">
        <f t="shared" si="4"/>
        <v/>
      </c>
    </row>
    <row r="97" spans="4:9" ht="15" customHeight="1">
      <c r="D97" t="str">
        <f t="shared" si="5"/>
        <v/>
      </c>
      <c r="F97" s="55"/>
      <c r="I97" t="str">
        <f t="shared" si="4"/>
        <v/>
      </c>
    </row>
    <row r="98" spans="4:9" ht="15" customHeight="1">
      <c r="D98" t="str">
        <f t="shared" si="5"/>
        <v/>
      </c>
      <c r="F98" s="55"/>
      <c r="I98" t="str">
        <f t="shared" si="4"/>
        <v/>
      </c>
    </row>
    <row r="99" spans="4:9" ht="15" customHeight="1">
      <c r="D99" t="str">
        <f t="shared" si="5"/>
        <v/>
      </c>
      <c r="F99" s="55"/>
      <c r="I99" t="str">
        <f t="shared" si="4"/>
        <v/>
      </c>
    </row>
    <row r="100" spans="4:9" ht="15" customHeight="1">
      <c r="D100" t="str">
        <f t="shared" si="5"/>
        <v/>
      </c>
      <c r="F100" s="55"/>
      <c r="I100" t="str">
        <f t="shared" si="4"/>
        <v/>
      </c>
    </row>
    <row r="101" spans="4:9" ht="15" customHeight="1">
      <c r="D101" t="str">
        <f t="shared" si="5"/>
        <v/>
      </c>
      <c r="F101" s="55"/>
      <c r="I101" t="str">
        <f t="shared" si="4"/>
        <v/>
      </c>
    </row>
    <row r="102" spans="4:9" ht="15" customHeight="1">
      <c r="D102" t="str">
        <f t="shared" si="5"/>
        <v/>
      </c>
      <c r="F102" s="55"/>
      <c r="I102" t="str">
        <f t="shared" si="4"/>
        <v/>
      </c>
    </row>
    <row r="103" spans="4:9" ht="15" customHeight="1">
      <c r="D103" t="str">
        <f t="shared" si="5"/>
        <v/>
      </c>
      <c r="F103" s="55"/>
      <c r="I103" t="str">
        <f t="shared" si="4"/>
        <v/>
      </c>
    </row>
    <row r="104" spans="4:9" ht="15" customHeight="1">
      <c r="D104" t="str">
        <f t="shared" si="5"/>
        <v/>
      </c>
      <c r="F104" s="55"/>
      <c r="I104" t="str">
        <f t="shared" si="4"/>
        <v/>
      </c>
    </row>
    <row r="105" spans="4:9" ht="15" customHeight="1">
      <c r="D105" t="str">
        <f t="shared" si="5"/>
        <v/>
      </c>
      <c r="I105" t="str">
        <f t="shared" si="4"/>
        <v/>
      </c>
    </row>
    <row r="106" spans="4:9" ht="15" customHeight="1">
      <c r="D106" t="str">
        <f t="shared" si="5"/>
        <v/>
      </c>
      <c r="I106" t="str">
        <f t="shared" si="4"/>
        <v/>
      </c>
    </row>
    <row r="107" spans="4:9" ht="15" customHeight="1">
      <c r="D107" t="str">
        <f t="shared" si="5"/>
        <v/>
      </c>
      <c r="I107" t="str">
        <f t="shared" si="4"/>
        <v/>
      </c>
    </row>
    <row r="108" spans="4:9" ht="15" customHeight="1">
      <c r="D108" t="str">
        <f t="shared" si="5"/>
        <v/>
      </c>
      <c r="I108" t="str">
        <f t="shared" si="4"/>
        <v/>
      </c>
    </row>
    <row r="109" spans="4:9" ht="15.75" customHeight="1">
      <c r="D109" t="str">
        <f t="shared" si="5"/>
        <v/>
      </c>
      <c r="I109" t="str">
        <f t="shared" si="4"/>
        <v/>
      </c>
    </row>
    <row r="110" spans="4:9" ht="26.25" customHeight="1">
      <c r="D110" t="str">
        <f t="shared" si="5"/>
        <v/>
      </c>
      <c r="I110" t="str">
        <f t="shared" si="4"/>
        <v/>
      </c>
    </row>
    <row r="111" spans="4:9">
      <c r="D111" t="str">
        <f t="shared" si="5"/>
        <v/>
      </c>
      <c r="I111" t="str">
        <f t="shared" si="4"/>
        <v/>
      </c>
    </row>
    <row r="112" spans="4:9" ht="15" customHeight="1">
      <c r="D112" t="str">
        <f t="shared" si="5"/>
        <v/>
      </c>
      <c r="I112" t="str">
        <f t="shared" si="4"/>
        <v/>
      </c>
    </row>
    <row r="113" spans="4:9">
      <c r="D113" t="str">
        <f t="shared" si="5"/>
        <v/>
      </c>
      <c r="I113" t="str">
        <f t="shared" si="4"/>
        <v/>
      </c>
    </row>
    <row r="114" spans="4:9" ht="15" customHeight="1">
      <c r="D114" t="str">
        <f t="shared" si="5"/>
        <v/>
      </c>
      <c r="I114" t="str">
        <f t="shared" si="4"/>
        <v/>
      </c>
    </row>
    <row r="115" spans="4:9" ht="15" customHeight="1">
      <c r="D115" t="str">
        <f t="shared" si="5"/>
        <v/>
      </c>
      <c r="I115" t="str">
        <f t="shared" si="4"/>
        <v/>
      </c>
    </row>
    <row r="116" spans="4:9" ht="15" customHeight="1">
      <c r="D116" t="str">
        <f t="shared" si="5"/>
        <v/>
      </c>
      <c r="I116" t="str">
        <f t="shared" si="4"/>
        <v/>
      </c>
    </row>
    <row r="117" spans="4:9" ht="15" customHeight="1">
      <c r="D117" t="str">
        <f t="shared" si="5"/>
        <v/>
      </c>
      <c r="I117" t="str">
        <f t="shared" si="4"/>
        <v/>
      </c>
    </row>
    <row r="118" spans="4:9">
      <c r="D118" t="str">
        <f t="shared" si="5"/>
        <v/>
      </c>
      <c r="I118" t="str">
        <f t="shared" si="4"/>
        <v/>
      </c>
    </row>
    <row r="119" spans="4:9" ht="15" customHeight="1">
      <c r="D119" t="str">
        <f t="shared" si="5"/>
        <v/>
      </c>
      <c r="I119" t="str">
        <f t="shared" si="4"/>
        <v/>
      </c>
    </row>
    <row r="120" spans="4:9" ht="15" customHeight="1">
      <c r="D120" t="str">
        <f t="shared" si="5"/>
        <v/>
      </c>
      <c r="I120" t="str">
        <f t="shared" si="4"/>
        <v/>
      </c>
    </row>
    <row r="121" spans="4:9" ht="15" customHeight="1">
      <c r="D121" t="str">
        <f t="shared" si="5"/>
        <v/>
      </c>
      <c r="I121" t="str">
        <f t="shared" si="4"/>
        <v/>
      </c>
    </row>
    <row r="122" spans="4:9" ht="15" customHeight="1">
      <c r="D122" t="str">
        <f t="shared" si="5"/>
        <v/>
      </c>
      <c r="I122" t="str">
        <f t="shared" si="4"/>
        <v/>
      </c>
    </row>
    <row r="123" spans="4:9" ht="15.75" customHeight="1">
      <c r="D123" t="str">
        <f t="shared" si="5"/>
        <v/>
      </c>
      <c r="I123" t="str">
        <f t="shared" si="4"/>
        <v/>
      </c>
    </row>
    <row r="124" spans="4:9" ht="16.5" customHeight="1">
      <c r="D124" t="str">
        <f t="shared" si="5"/>
        <v/>
      </c>
    </row>
    <row r="125" spans="4:9">
      <c r="D125" t="str">
        <f t="shared" si="5"/>
        <v/>
      </c>
    </row>
    <row r="126" spans="4:9">
      <c r="D126" t="str">
        <f t="shared" si="5"/>
        <v/>
      </c>
    </row>
    <row r="127" spans="4:9">
      <c r="D127" t="str">
        <f t="shared" si="5"/>
        <v/>
      </c>
    </row>
    <row r="128" spans="4:9">
      <c r="D128" t="str">
        <f t="shared" si="5"/>
        <v/>
      </c>
    </row>
    <row r="129" spans="4:4">
      <c r="D129" t="str">
        <f t="shared" si="5"/>
        <v/>
      </c>
    </row>
    <row r="130" spans="4:4">
      <c r="D130" t="str">
        <f t="shared" si="5"/>
        <v/>
      </c>
    </row>
    <row r="131" spans="4:4">
      <c r="D131" t="str">
        <f t="shared" si="5"/>
        <v/>
      </c>
    </row>
    <row r="132" spans="4:4">
      <c r="D132" t="str">
        <f t="shared" si="5"/>
        <v/>
      </c>
    </row>
    <row r="133" spans="4:4">
      <c r="D133" t="str">
        <f t="shared" si="5"/>
        <v/>
      </c>
    </row>
    <row r="134" spans="4:4">
      <c r="D134" t="str">
        <f t="shared" si="5"/>
        <v/>
      </c>
    </row>
    <row r="135" spans="4:4">
      <c r="D135" t="str">
        <f t="shared" si="5"/>
        <v/>
      </c>
    </row>
    <row r="136" spans="4:4">
      <c r="D136" t="str">
        <f t="shared" si="5"/>
        <v/>
      </c>
    </row>
    <row r="137" spans="4:4">
      <c r="D137" t="str">
        <f t="shared" si="5"/>
        <v/>
      </c>
    </row>
    <row r="138" spans="4:4">
      <c r="D138" t="str">
        <f t="shared" si="5"/>
        <v/>
      </c>
    </row>
    <row r="139" spans="4:4">
      <c r="D139" t="str">
        <f t="shared" si="5"/>
        <v/>
      </c>
    </row>
    <row r="140" spans="4:4">
      <c r="D140" t="str">
        <f t="shared" si="5"/>
        <v/>
      </c>
    </row>
    <row r="141" spans="4:4">
      <c r="D141" t="str">
        <f t="shared" si="5"/>
        <v/>
      </c>
    </row>
    <row r="142" spans="4:4">
      <c r="D142" t="str">
        <f t="shared" si="5"/>
        <v/>
      </c>
    </row>
    <row r="143" spans="4:4">
      <c r="D143" t="str">
        <f t="shared" si="5"/>
        <v/>
      </c>
    </row>
    <row r="144" spans="4:4">
      <c r="D144" t="str">
        <f t="shared" si="5"/>
        <v/>
      </c>
    </row>
    <row r="145" spans="4:4">
      <c r="D145" t="str">
        <f t="shared" si="5"/>
        <v/>
      </c>
    </row>
    <row r="146" spans="4:4">
      <c r="D146" t="str">
        <f t="shared" si="5"/>
        <v/>
      </c>
    </row>
    <row r="147" spans="4:4">
      <c r="D147" t="str">
        <f t="shared" si="5"/>
        <v/>
      </c>
    </row>
    <row r="148" spans="4:4">
      <c r="D148" t="str">
        <f t="shared" si="5"/>
        <v/>
      </c>
    </row>
    <row r="149" spans="4:4">
      <c r="D149" t="str">
        <f t="shared" si="5"/>
        <v/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34"/>
  <sheetViews>
    <sheetView workbookViewId="0"/>
  </sheetViews>
  <sheetFormatPr defaultColWidth="8.88671875" defaultRowHeight="14.4"/>
  <cols>
    <col min="1" max="1" width="10.6640625" customWidth="1"/>
    <col min="2" max="2" width="38.33203125" bestFit="1" customWidth="1"/>
  </cols>
  <sheetData>
    <row r="1" spans="1:4">
      <c r="A1" s="7" t="s">
        <v>318</v>
      </c>
    </row>
    <row r="2" spans="1:4">
      <c r="A2" t="s">
        <v>210</v>
      </c>
      <c r="B2" t="s">
        <v>225</v>
      </c>
      <c r="C2" t="s">
        <v>175</v>
      </c>
      <c r="D2" s="60">
        <f>SUMIF('RAP Snapshot'!$A$19:$A$64,'LOAD Margin'!B2,'RAP Snapshot'!$D$19:$D$64)</f>
        <v>0.67990326779495647</v>
      </c>
    </row>
    <row r="3" spans="1:4">
      <c r="A3" t="s">
        <v>210</v>
      </c>
      <c r="B3" t="s">
        <v>234</v>
      </c>
      <c r="C3" t="s">
        <v>177</v>
      </c>
      <c r="D3" s="60">
        <f>SUMIF('RAP Snapshot'!$A$19:$A$64,'LOAD Margin'!B3,'RAP Snapshot'!$D$19:$D$64)</f>
        <v>0.51394102977529299</v>
      </c>
    </row>
    <row r="4" spans="1:4">
      <c r="A4" t="s">
        <v>210</v>
      </c>
      <c r="B4" t="s">
        <v>242</v>
      </c>
      <c r="C4" t="s">
        <v>179</v>
      </c>
      <c r="D4" s="60">
        <f>SUMIF('RAP Snapshot'!$A$19:$A$64,'LOAD Margin'!B4,'RAP Snapshot'!$D$19:$D$64)</f>
        <v>0.58533324672285647</v>
      </c>
    </row>
    <row r="5" spans="1:4">
      <c r="A5" t="s">
        <v>210</v>
      </c>
      <c r="B5" t="s">
        <v>250</v>
      </c>
      <c r="C5" t="s">
        <v>180</v>
      </c>
      <c r="D5" s="60">
        <f>SUMIF('RAP Snapshot'!$A$19:$A$64,'LOAD Margin'!B5,'RAP Snapshot'!$D$19:$D$64)</f>
        <v>0.55887876296890637</v>
      </c>
    </row>
    <row r="6" spans="1:4">
      <c r="A6" t="s">
        <v>210</v>
      </c>
      <c r="B6" t="s">
        <v>258</v>
      </c>
      <c r="C6" t="s">
        <v>178</v>
      </c>
      <c r="D6" s="60">
        <f>SUMIF('RAP Snapshot'!$A$19:$A$64,'LOAD Margin'!B6,'RAP Snapshot'!$D$19:$D$64)</f>
        <v>0.56792715879811295</v>
      </c>
    </row>
    <row r="7" spans="1:4">
      <c r="A7" t="s">
        <v>210</v>
      </c>
      <c r="B7" t="s">
        <v>264</v>
      </c>
      <c r="C7" t="s">
        <v>181</v>
      </c>
      <c r="D7" s="60">
        <f>SUMIF('RAP Snapshot'!$A$19:$A$64,'LOAD Margin'!B7,'RAP Snapshot'!$D$19:$D$64)</f>
        <v>0.5239340943951678</v>
      </c>
    </row>
    <row r="8" spans="1:4">
      <c r="A8" t="s">
        <v>210</v>
      </c>
      <c r="B8" t="s">
        <v>268</v>
      </c>
      <c r="C8" t="s">
        <v>182</v>
      </c>
      <c r="D8" s="60">
        <f>SUMIF('RAP Snapshot'!$A$19:$A$64,'LOAD Margin'!B8,'RAP Snapshot'!$D$19:$D$64)</f>
        <v>0.17126806498848418</v>
      </c>
    </row>
    <row r="9" spans="1:4">
      <c r="A9" t="s">
        <v>216</v>
      </c>
      <c r="B9" t="s">
        <v>272</v>
      </c>
      <c r="C9" t="s">
        <v>188</v>
      </c>
      <c r="D9" s="60">
        <f>SUMIF('RAP Snapshot'!$A$19:$A$64,'LOAD Margin'!B9,'RAP Snapshot'!$D$19:$D$64)</f>
        <v>0.64231826368471445</v>
      </c>
    </row>
    <row r="10" spans="1:4">
      <c r="A10" t="s">
        <v>216</v>
      </c>
      <c r="B10" t="s">
        <v>274</v>
      </c>
      <c r="C10" t="s">
        <v>187</v>
      </c>
      <c r="D10" s="60">
        <f>SUMIF('RAP Snapshot'!$A$19:$A$64,'LOAD Margin'!B10,'RAP Snapshot'!$D$19:$D$64)</f>
        <v>0.65762943475210034</v>
      </c>
    </row>
    <row r="11" spans="1:4">
      <c r="A11" t="s">
        <v>216</v>
      </c>
      <c r="B11" t="s">
        <v>276</v>
      </c>
      <c r="C11" t="s">
        <v>189</v>
      </c>
      <c r="D11" s="60">
        <f>SUMIF('RAP Snapshot'!$A$19:$A$64,'LOAD Margin'!B11,'RAP Snapshot'!$D$19:$D$64)</f>
        <v>0.68713757423287058</v>
      </c>
    </row>
    <row r="12" spans="1:4">
      <c r="A12" t="s">
        <v>216</v>
      </c>
      <c r="B12" t="s">
        <v>277</v>
      </c>
      <c r="C12" t="s">
        <v>186</v>
      </c>
      <c r="D12" s="60">
        <f>SUMIF('RAP Snapshot'!$A$19:$A$64,'LOAD Margin'!B12,'RAP Snapshot'!$D$19:$D$64)</f>
        <v>0.70746424631327409</v>
      </c>
    </row>
    <row r="13" spans="1:4">
      <c r="A13" t="s">
        <v>216</v>
      </c>
      <c r="B13" t="s">
        <v>278</v>
      </c>
      <c r="C13" t="s">
        <v>185</v>
      </c>
      <c r="D13" s="60">
        <f>SUMIF('RAP Snapshot'!$A$19:$A$64,'LOAD Margin'!B13,'RAP Snapshot'!$D$19:$D$64)</f>
        <v>0.58392020744167628</v>
      </c>
    </row>
    <row r="14" spans="1:4">
      <c r="A14" t="s">
        <v>216</v>
      </c>
      <c r="B14" t="s">
        <v>279</v>
      </c>
      <c r="C14" t="s">
        <v>184</v>
      </c>
      <c r="D14" s="60">
        <f>SUMIF('RAP Snapshot'!$A$19:$A$64,'LOAD Margin'!B14,'RAP Snapshot'!$D$19:$D$64)</f>
        <v>0.66193738382599465</v>
      </c>
    </row>
    <row r="15" spans="1:4">
      <c r="A15" t="s">
        <v>224</v>
      </c>
      <c r="B15" t="s">
        <v>280</v>
      </c>
      <c r="C15" t="s">
        <v>191</v>
      </c>
      <c r="D15" s="60">
        <f>SUMIF('RAP Snapshot'!$A$19:$A$64,'LOAD Margin'!B15,'RAP Snapshot'!$D$19:$D$64)</f>
        <v>0.94952365028786512</v>
      </c>
    </row>
    <row r="16" spans="1:4">
      <c r="A16" t="s">
        <v>224</v>
      </c>
      <c r="B16" t="s">
        <v>283</v>
      </c>
      <c r="C16" t="s">
        <v>192</v>
      </c>
      <c r="D16" s="60">
        <f>SUMIF('RAP Snapshot'!$A$19:$A$64,'LOAD Margin'!B16,'RAP Snapshot'!$D$19:$D$64)</f>
        <v>0.93606193156570017</v>
      </c>
    </row>
    <row r="17" spans="1:4">
      <c r="A17" t="s">
        <v>224</v>
      </c>
      <c r="B17" t="s">
        <v>285</v>
      </c>
      <c r="C17" t="s">
        <v>194</v>
      </c>
      <c r="D17" s="60">
        <f>SUMIF('RAP Snapshot'!$A$19:$A$64,'LOAD Margin'!B17,'RAP Snapshot'!$D$19:$D$64)</f>
        <v>0.93527920644721618</v>
      </c>
    </row>
    <row r="18" spans="1:4">
      <c r="A18" t="s">
        <v>224</v>
      </c>
      <c r="B18" t="s">
        <v>287</v>
      </c>
      <c r="C18" t="s">
        <v>195</v>
      </c>
      <c r="D18" s="60">
        <f>SUMIF('RAP Snapshot'!$A$19:$A$64,'LOAD Margin'!B18,'RAP Snapshot'!$D$19:$D$64)</f>
        <v>0.93094330017701532</v>
      </c>
    </row>
    <row r="19" spans="1:4">
      <c r="A19" t="s">
        <v>224</v>
      </c>
      <c r="B19" t="s">
        <v>290</v>
      </c>
      <c r="C19" t="s">
        <v>196</v>
      </c>
      <c r="D19" s="60">
        <f>SUMIF('RAP Snapshot'!$A$19:$A$64,'LOAD Margin'!B19,'RAP Snapshot'!$D$19:$D$64)</f>
        <v>0.92835332180536345</v>
      </c>
    </row>
    <row r="20" spans="1:4">
      <c r="A20" t="s">
        <v>224</v>
      </c>
      <c r="B20" t="s">
        <v>293</v>
      </c>
      <c r="C20" t="s">
        <v>197</v>
      </c>
      <c r="D20" s="60">
        <f>SUMIF('RAP Snapshot'!$A$19:$A$64,'LOAD Margin'!B20,'RAP Snapshot'!$D$19:$D$64)</f>
        <v>0.95863817457224509</v>
      </c>
    </row>
    <row r="21" spans="1:4">
      <c r="A21" t="s">
        <v>224</v>
      </c>
      <c r="B21" t="s">
        <v>295</v>
      </c>
      <c r="C21" t="s">
        <v>198</v>
      </c>
      <c r="D21" s="60">
        <f>SUMIF('RAP Snapshot'!$A$19:$A$64,'LOAD Margin'!B21,'RAP Snapshot'!$D$19:$D$64)</f>
        <v>0.31277673262180272</v>
      </c>
    </row>
    <row r="22" spans="1:4">
      <c r="A22" t="s">
        <v>224</v>
      </c>
      <c r="B22" t="s">
        <v>298</v>
      </c>
      <c r="C22" t="s">
        <v>199</v>
      </c>
      <c r="D22" s="60">
        <f>SUMIF('RAP Snapshot'!$A$19:$A$64,'LOAD Margin'!B22,'RAP Snapshot'!$D$19:$D$64)</f>
        <v>0.62700223813888201</v>
      </c>
    </row>
    <row r="23" spans="1:4">
      <c r="A23" t="s">
        <v>233</v>
      </c>
      <c r="B23" t="s">
        <v>301</v>
      </c>
      <c r="C23" t="s">
        <v>201</v>
      </c>
      <c r="D23" s="60">
        <f>SUMIF('RAP Snapshot'!$A$19:$A$64,'LOAD Margin'!B23,'RAP Snapshot'!$D$19:$D$64)</f>
        <v>0.54443345121259556</v>
      </c>
    </row>
    <row r="24" spans="1:4">
      <c r="A24" t="s">
        <v>233</v>
      </c>
      <c r="B24" t="s">
        <v>304</v>
      </c>
      <c r="C24" t="s">
        <v>303</v>
      </c>
      <c r="D24" s="60">
        <v>0.60442692538807996</v>
      </c>
    </row>
    <row r="25" spans="1:4">
      <c r="A25" t="s">
        <v>233</v>
      </c>
      <c r="B25" t="s">
        <v>306</v>
      </c>
      <c r="C25" t="s">
        <v>203</v>
      </c>
      <c r="D25" s="60">
        <f>SUMIF('RAP Snapshot'!$A$19:$A$64,'LOAD Margin'!B25,'RAP Snapshot'!$D$19:$D$64)</f>
        <v>0.59624038847568528</v>
      </c>
    </row>
    <row r="28" spans="1:4">
      <c r="A28" s="7" t="s">
        <v>165</v>
      </c>
    </row>
    <row r="29" spans="1:4">
      <c r="A29" t="s">
        <v>210</v>
      </c>
      <c r="B29" s="60">
        <v>0.50616675598651639</v>
      </c>
    </row>
    <row r="30" spans="1:4">
      <c r="A30" t="s">
        <v>216</v>
      </c>
      <c r="B30" s="60">
        <v>0.58264259452520661</v>
      </c>
    </row>
    <row r="31" spans="1:4">
      <c r="A31" t="s">
        <v>224</v>
      </c>
      <c r="B31" s="60">
        <v>0.49039566174951282</v>
      </c>
    </row>
    <row r="32" spans="1:4">
      <c r="A32" t="s">
        <v>233</v>
      </c>
      <c r="B32" s="60">
        <v>0.54398535669048043</v>
      </c>
    </row>
    <row r="34" spans="1:2">
      <c r="A34" s="7" t="s">
        <v>319</v>
      </c>
      <c r="B34" s="60">
        <v>0.51904320892212408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0649d22-e8b0-45db-a0eb-cc38edcb5d40">
      <Terms xmlns="http://schemas.microsoft.com/office/infopath/2007/PartnerControls"/>
    </lcf76f155ced4ddcb4097134ff3c332f>
    <TaxCatchAll xmlns="1cf3846d-520b-4f95-b88d-cab1ad5977b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F818598167632428C34E1C1829B4C4D" ma:contentTypeVersion="17" ma:contentTypeDescription="Create a new document." ma:contentTypeScope="" ma:versionID="be90608857940e395afd1fa43080a53b">
  <xsd:schema xmlns:xsd="http://www.w3.org/2001/XMLSchema" xmlns:xs="http://www.w3.org/2001/XMLSchema" xmlns:p="http://schemas.microsoft.com/office/2006/metadata/properties" xmlns:ns2="b0649d22-e8b0-45db-a0eb-cc38edcb5d40" xmlns:ns3="1cf3846d-520b-4f95-b88d-cab1ad5977b3" targetNamespace="http://schemas.microsoft.com/office/2006/metadata/properties" ma:root="true" ma:fieldsID="1f672e0e3632501ed4dec97d42aac3bb" ns2:_="" ns3:_="">
    <xsd:import namespace="b0649d22-e8b0-45db-a0eb-cc38edcb5d40"/>
    <xsd:import namespace="1cf3846d-520b-4f95-b88d-cab1ad5977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649d22-e8b0-45db-a0eb-cc38edcb5d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d7fcee89-5a73-4a7b-ac3d-7e05f09405f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f3846d-520b-4f95-b88d-cab1ad5977b3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ef2c144-9cad-4a0c-9255-9812b64a3cd9}" ma:internalName="TaxCatchAll" ma:showField="CatchAllData" ma:web="1cf3846d-520b-4f95-b88d-cab1ad5977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DAA7A63-E98C-4668-9EFD-9D3DF24F46A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1E2FB55-3EE2-496A-8DE8-E09DD5C29383}">
  <ds:schemaRefs>
    <ds:schemaRef ds:uri="http://schemas.microsoft.com/office/2006/metadata/properties"/>
    <ds:schemaRef ds:uri="http://schemas.microsoft.com/office/infopath/2007/PartnerControls"/>
    <ds:schemaRef ds:uri="12431587-8fe2-469b-8d7c-8f4bf9831630"/>
    <ds:schemaRef ds:uri="676ecdd4-9c6d-4c2b-9e93-e66a92524ece"/>
    <ds:schemaRef ds:uri="b0649d22-e8b0-45db-a0eb-cc38edcb5d40"/>
    <ds:schemaRef ds:uri="1cf3846d-520b-4f95-b88d-cab1ad5977b3"/>
  </ds:schemaRefs>
</ds:datastoreItem>
</file>

<file path=customXml/itemProps3.xml><?xml version="1.0" encoding="utf-8"?>
<ds:datastoreItem xmlns:ds="http://schemas.openxmlformats.org/officeDocument/2006/customXml" ds:itemID="{DE83D887-D323-4DBF-A9E3-E282C7F5C55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0649d22-e8b0-45db-a0eb-cc38edcb5d40"/>
    <ds:schemaRef ds:uri="1cf3846d-520b-4f95-b88d-cab1ad5977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2c4705ea-e083-4dab-8438-e508bbb2bfba}" enabled="1" method="Privileged" siteId="{5a7cc8ab-a4dc-4f9b-bf60-66714049ad6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10</vt:i4>
      </vt:variant>
    </vt:vector>
  </HeadingPairs>
  <TitlesOfParts>
    <vt:vector size="24" baseType="lpstr">
      <vt:lpstr>Detailed Summary</vt:lpstr>
      <vt:lpstr>Salary Calc</vt:lpstr>
      <vt:lpstr>Salary Rates</vt:lpstr>
      <vt:lpstr>Break Even Point</vt:lpstr>
      <vt:lpstr>Data Tables ---&gt;</vt:lpstr>
      <vt:lpstr>Course Costing Data</vt:lpstr>
      <vt:lpstr>Non Sal Data</vt:lpstr>
      <vt:lpstr>Look Up</vt:lpstr>
      <vt:lpstr>LOAD Margin</vt:lpstr>
      <vt:lpstr>Study Intensity Example</vt:lpstr>
      <vt:lpstr>Study Intensity</vt:lpstr>
      <vt:lpstr>RAP - Commissions</vt:lpstr>
      <vt:lpstr>RAP Snapshot</vt:lpstr>
      <vt:lpstr>Sensitivity</vt:lpstr>
      <vt:lpstr>Ac_Sal</vt:lpstr>
      <vt:lpstr>ACA_Commence</vt:lpstr>
      <vt:lpstr>Data</vt:lpstr>
      <vt:lpstr>Departments</vt:lpstr>
      <vt:lpstr>FOE</vt:lpstr>
      <vt:lpstr>Gen_Sal</vt:lpstr>
      <vt:lpstr>Group</vt:lpstr>
      <vt:lpstr>'Detailed Summary'!Print_Area</vt:lpstr>
      <vt:lpstr>Trimesters</vt:lpstr>
      <vt:lpstr>Years</vt:lpstr>
    </vt:vector>
  </TitlesOfParts>
  <Manager/>
  <Company>Griffith University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Mark Flynn</dc:creator>
  <cp:keywords/>
  <dc:description/>
  <cp:lastModifiedBy>Vivian O'Connell</cp:lastModifiedBy>
  <cp:revision/>
  <dcterms:created xsi:type="dcterms:W3CDTF">2018-05-02T06:58:17Z</dcterms:created>
  <dcterms:modified xsi:type="dcterms:W3CDTF">2024-05-21T02:57:38Z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0x0101005F818598167632428C34E1C1829B4C4D</vt:lpwstr>
  </property>
  <property fmtid="{D5CDD505-2E9C-101B-9397-08002B2CF9AE}" pid="3" name="MediaServiceImageTags">
    <vt:lpwstr/>
  </property>
</Properties>
</file>